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E228AEF3-E7AF-4828-8E25-312C7C240F16}" xr6:coauthVersionLast="46" xr6:coauthVersionMax="46" xr10:uidLastSave="{00000000-0000-0000-0000-000000000000}"/>
  <bookViews>
    <workbookView showSheetTabs="0" xWindow="-120" yWindow="-120" windowWidth="29040" windowHeight="15840" xr2:uid="{00000000-000D-0000-FFFF-FFFF00000000}"/>
  </bookViews>
  <sheets>
    <sheet name="Inhoud" sheetId="5" r:id="rId1"/>
    <sheet name="Overheidsbezuiniging" sheetId="3" r:id="rId2"/>
    <sheet name="Overheidsbesteding" sheetId="6" r:id="rId3"/>
  </sheets>
  <calcPr calcId="191029"/>
</workbook>
</file>

<file path=xl/calcChain.xml><?xml version="1.0" encoding="utf-8"?>
<calcChain xmlns="http://schemas.openxmlformats.org/spreadsheetml/2006/main">
  <c r="K11" i="6" l="1"/>
  <c r="J11" i="6"/>
  <c r="B9" i="6"/>
  <c r="B11" i="6"/>
  <c r="B10" i="6"/>
  <c r="R8" i="6"/>
  <c r="AC8" i="6"/>
  <c r="AN26" i="6"/>
  <c r="AN25" i="6"/>
  <c r="AN24" i="6"/>
  <c r="AN23" i="6"/>
  <c r="AN22" i="6"/>
  <c r="AN21" i="6"/>
  <c r="AN20" i="6"/>
  <c r="AN19" i="6"/>
  <c r="AN18" i="6"/>
  <c r="AN17" i="6"/>
  <c r="AN16" i="6"/>
  <c r="AM16" i="6"/>
  <c r="AO17" i="6"/>
  <c r="AO18" i="6"/>
  <c r="AO19" i="6"/>
  <c r="AO20" i="6"/>
  <c r="AO21" i="6"/>
  <c r="AO22" i="6"/>
  <c r="AO23" i="6"/>
  <c r="AO24" i="6"/>
  <c r="AO25" i="6"/>
  <c r="AO26" i="6"/>
  <c r="AO16" i="6"/>
  <c r="AP26" i="6" s="1"/>
  <c r="AM19" i="6"/>
  <c r="AM20" i="6"/>
  <c r="AM21" i="6" s="1"/>
  <c r="AM22" i="6" s="1"/>
  <c r="AM23" i="6" s="1"/>
  <c r="AM24" i="6" s="1"/>
  <c r="AM25" i="6" s="1"/>
  <c r="AM26" i="6" s="1"/>
  <c r="AM18" i="6"/>
  <c r="AM17" i="6"/>
  <c r="AL17" i="6"/>
  <c r="AL18" i="6"/>
  <c r="AL19" i="6"/>
  <c r="AL20" i="6"/>
  <c r="AL21" i="6"/>
  <c r="AL22" i="6"/>
  <c r="AL23" i="6"/>
  <c r="AL24" i="6"/>
  <c r="AL25" i="6"/>
  <c r="AL26" i="6"/>
  <c r="AL16" i="6"/>
  <c r="AK18" i="6"/>
  <c r="AK19" i="6"/>
  <c r="AK20" i="6" s="1"/>
  <c r="AK21" i="6" s="1"/>
  <c r="AK22" i="6" s="1"/>
  <c r="AK23" i="6" s="1"/>
  <c r="AK24" i="6" s="1"/>
  <c r="AK25" i="6" s="1"/>
  <c r="AK26" i="6" s="1"/>
  <c r="AK17" i="6"/>
  <c r="AK16" i="6"/>
  <c r="AK10" i="3"/>
  <c r="AN26" i="3"/>
  <c r="AN25" i="3"/>
  <c r="AN24" i="3"/>
  <c r="AN23" i="3"/>
  <c r="AN22" i="3"/>
  <c r="AN21" i="3"/>
  <c r="AN20" i="3"/>
  <c r="AN19" i="3"/>
  <c r="AN18" i="3"/>
  <c r="AN17" i="3"/>
  <c r="AN16" i="3"/>
  <c r="AK18" i="3"/>
  <c r="AK19" i="3"/>
  <c r="AK20" i="3" s="1"/>
  <c r="AK21" i="3" s="1"/>
  <c r="AK22" i="3" s="1"/>
  <c r="AK23" i="3" s="1"/>
  <c r="AK24" i="3" s="1"/>
  <c r="AK25" i="3" s="1"/>
  <c r="AK26" i="3" s="1"/>
  <c r="AK17" i="3"/>
  <c r="AL17" i="3"/>
  <c r="AL18" i="3"/>
  <c r="AL19" i="3"/>
  <c r="AL20" i="3"/>
  <c r="AL21" i="3"/>
  <c r="AL22" i="3"/>
  <c r="AL23" i="3"/>
  <c r="AL24" i="3"/>
  <c r="AL25" i="3"/>
  <c r="AL26" i="3"/>
  <c r="AL16" i="3"/>
  <c r="AO17" i="3"/>
  <c r="AP17" i="3" s="1"/>
  <c r="AO18" i="3"/>
  <c r="AO19" i="3"/>
  <c r="AO20" i="3"/>
  <c r="AO21" i="3"/>
  <c r="AO22" i="3"/>
  <c r="AO23" i="3"/>
  <c r="AO24" i="3"/>
  <c r="AO25" i="3"/>
  <c r="AO26" i="3"/>
  <c r="AO16" i="3"/>
  <c r="AP16" i="3" s="1"/>
  <c r="AM24" i="3"/>
  <c r="AM26" i="3"/>
  <c r="AM25" i="3"/>
  <c r="AM23" i="3"/>
  <c r="AM22" i="3"/>
  <c r="AM21" i="3"/>
  <c r="AM20" i="3"/>
  <c r="AM19" i="3"/>
  <c r="AM18" i="3"/>
  <c r="AM17" i="3"/>
  <c r="AM16" i="3"/>
  <c r="AL9" i="6"/>
  <c r="AG28" i="6" s="1"/>
  <c r="AK9" i="6"/>
  <c r="B9" i="3"/>
  <c r="K11" i="3"/>
  <c r="B11" i="3"/>
  <c r="B10" i="3"/>
  <c r="AC8" i="3"/>
  <c r="AK10" i="6"/>
  <c r="AP17" i="6" l="1"/>
  <c r="AP19" i="6"/>
  <c r="AP21" i="6"/>
  <c r="AP23" i="6"/>
  <c r="AP25" i="6"/>
  <c r="AP16" i="6"/>
  <c r="AP18" i="6"/>
  <c r="AP20" i="6"/>
  <c r="AP22" i="6"/>
  <c r="AP24" i="6"/>
  <c r="AP18" i="3"/>
  <c r="AP19" i="3" s="1"/>
  <c r="AP20" i="3" s="1"/>
  <c r="AP21" i="3" s="1"/>
  <c r="AP22" i="3" s="1"/>
  <c r="AP23" i="3" s="1"/>
  <c r="AP24" i="3" s="1"/>
  <c r="AP25" i="3" s="1"/>
  <c r="AP26" i="3" s="1"/>
  <c r="AJ26" i="6"/>
  <c r="AH26" i="6"/>
  <c r="AG26" i="6"/>
  <c r="AF26" i="6"/>
  <c r="AE26" i="6"/>
  <c r="AJ25" i="6"/>
  <c r="AH25" i="6"/>
  <c r="AG25" i="6"/>
  <c r="AF25" i="6"/>
  <c r="AE25" i="6"/>
  <c r="AJ24" i="6"/>
  <c r="AH24" i="6"/>
  <c r="AG24" i="6"/>
  <c r="AF24" i="6"/>
  <c r="AE24" i="6"/>
  <c r="AJ23" i="6"/>
  <c r="AH23" i="6"/>
  <c r="AG23" i="6"/>
  <c r="AF23" i="6"/>
  <c r="AE23" i="6"/>
  <c r="AJ22" i="6"/>
  <c r="AH22" i="6"/>
  <c r="AG22" i="6"/>
  <c r="AF22" i="6"/>
  <c r="AE22" i="6"/>
  <c r="AJ21" i="6"/>
  <c r="AH21" i="6"/>
  <c r="AG21" i="6"/>
  <c r="AF21" i="6"/>
  <c r="AE21" i="6"/>
  <c r="AJ20" i="6"/>
  <c r="AH20" i="6"/>
  <c r="AG20" i="6"/>
  <c r="AF20" i="6"/>
  <c r="AE20" i="6"/>
  <c r="AJ19" i="6"/>
  <c r="AH19" i="6"/>
  <c r="AG19" i="6"/>
  <c r="AF19" i="6"/>
  <c r="AE19" i="6"/>
  <c r="AJ18" i="6"/>
  <c r="AH18" i="6"/>
  <c r="AG18" i="6"/>
  <c r="AF18" i="6"/>
  <c r="AE18" i="6"/>
  <c r="AJ17" i="6"/>
  <c r="AH17" i="6"/>
  <c r="AG17" i="6"/>
  <c r="AF17" i="6"/>
  <c r="AE17" i="6"/>
  <c r="AJ16" i="6"/>
  <c r="AH16" i="6"/>
  <c r="AG16" i="6"/>
  <c r="AF16" i="6"/>
  <c r="AE16" i="6"/>
  <c r="AC25" i="6"/>
  <c r="AL9" i="3"/>
  <c r="AE16" i="3"/>
  <c r="AF16" i="3"/>
  <c r="AG16" i="3"/>
  <c r="AH16" i="3"/>
  <c r="AJ16" i="3"/>
  <c r="AE17" i="3"/>
  <c r="AF17" i="3"/>
  <c r="AG17" i="3"/>
  <c r="AH17" i="3"/>
  <c r="AJ17" i="3"/>
  <c r="AE18" i="3"/>
  <c r="AF18" i="3"/>
  <c r="AG18" i="3"/>
  <c r="AH18" i="3"/>
  <c r="AJ18" i="3"/>
  <c r="AE19" i="3"/>
  <c r="AF19" i="3"/>
  <c r="AG19" i="3"/>
  <c r="AH19" i="3"/>
  <c r="AJ19" i="3"/>
  <c r="AE20" i="3"/>
  <c r="AF20" i="3"/>
  <c r="AG20" i="3"/>
  <c r="AH20" i="3"/>
  <c r="AJ20" i="3"/>
  <c r="AE21" i="3"/>
  <c r="AF21" i="3"/>
  <c r="AG21" i="3"/>
  <c r="AH21" i="3"/>
  <c r="AJ21" i="3"/>
  <c r="AE22" i="3"/>
  <c r="AF22" i="3"/>
  <c r="AI22" i="3" s="1"/>
  <c r="AG22" i="3"/>
  <c r="AH22" i="3"/>
  <c r="AJ22" i="3"/>
  <c r="AE23" i="3"/>
  <c r="AF23" i="3"/>
  <c r="AG23" i="3"/>
  <c r="AH23" i="3"/>
  <c r="AJ23" i="3"/>
  <c r="AE24" i="3"/>
  <c r="AF24" i="3"/>
  <c r="AG24" i="3"/>
  <c r="AH24" i="3"/>
  <c r="AJ24" i="3"/>
  <c r="AE25" i="3"/>
  <c r="AF25" i="3"/>
  <c r="AG25" i="3"/>
  <c r="AH25" i="3"/>
  <c r="AJ25" i="3"/>
  <c r="AE26" i="3"/>
  <c r="AF26" i="3"/>
  <c r="AG26" i="3"/>
  <c r="AH26" i="3"/>
  <c r="AJ26" i="3"/>
  <c r="AK9" i="3" l="1"/>
  <c r="AL12" i="3" s="1"/>
  <c r="AI16" i="6"/>
  <c r="AI17" i="6"/>
  <c r="AI18" i="6"/>
  <c r="AI19" i="6"/>
  <c r="AI20" i="6"/>
  <c r="AI21" i="6"/>
  <c r="AI22" i="6"/>
  <c r="AI23" i="6"/>
  <c r="AI24" i="6"/>
  <c r="AI25" i="6"/>
  <c r="AI26" i="6"/>
  <c r="AI19" i="3"/>
  <c r="AI26" i="3"/>
  <c r="AI23" i="3"/>
  <c r="AI18" i="3"/>
  <c r="AI25" i="3"/>
  <c r="AI24" i="3"/>
  <c r="AI21" i="3"/>
  <c r="AI20" i="3"/>
  <c r="AI17" i="3"/>
  <c r="AI16" i="3"/>
  <c r="AG28" i="3"/>
  <c r="J11" i="3"/>
  <c r="AK12" i="6"/>
  <c r="AK12" i="3" l="1"/>
  <c r="B15" i="6"/>
  <c r="B14" i="6"/>
  <c r="B16" i="6"/>
  <c r="B17" i="6"/>
  <c r="X19" i="6"/>
  <c r="Y10" i="6"/>
  <c r="R8" i="3"/>
  <c r="Y10" i="3"/>
  <c r="AC19" i="6" l="1"/>
  <c r="B17" i="3"/>
  <c r="B14" i="3"/>
  <c r="B16" i="3"/>
  <c r="B15" i="3"/>
  <c r="AC13" i="6" l="1"/>
  <c r="AC25" i="3"/>
  <c r="X19" i="3"/>
  <c r="AC13" i="3"/>
  <c r="B23" i="3" s="1"/>
  <c r="B27" i="6" l="1"/>
  <c r="B26" i="6"/>
  <c r="B23" i="6"/>
  <c r="B21" i="6"/>
  <c r="B22" i="6"/>
  <c r="B20" i="6"/>
  <c r="B21" i="3"/>
  <c r="B22" i="3"/>
  <c r="B20" i="3"/>
  <c r="AC19" i="3"/>
  <c r="B26" i="3" l="1"/>
  <c r="B27" i="3"/>
</calcChain>
</file>

<file path=xl/sharedStrings.xml><?xml version="1.0" encoding="utf-8"?>
<sst xmlns="http://schemas.openxmlformats.org/spreadsheetml/2006/main" count="107" uniqueCount="52">
  <si>
    <t>=</t>
  </si>
  <si>
    <t>www.jdjong.nl</t>
  </si>
  <si>
    <t>Y</t>
  </si>
  <si>
    <t xml:space="preserve">I </t>
  </si>
  <si>
    <t xml:space="preserve">Y </t>
  </si>
  <si>
    <t>I</t>
  </si>
  <si>
    <t>y</t>
  </si>
  <si>
    <t>C</t>
  </si>
  <si>
    <t>c</t>
  </si>
  <si>
    <t>y=ev</t>
  </si>
  <si>
    <t xml:space="preserve">   </t>
  </si>
  <si>
    <t>B</t>
  </si>
  <si>
    <t>O</t>
  </si>
  <si>
    <t>C  +</t>
  </si>
  <si>
    <t>I + O</t>
  </si>
  <si>
    <t>Rente</t>
  </si>
  <si>
    <t>Inflatie</t>
  </si>
  <si>
    <t>IS</t>
  </si>
  <si>
    <t>MB</t>
  </si>
  <si>
    <t>GA</t>
  </si>
  <si>
    <t>Het IS-MB-GA model</t>
  </si>
  <si>
    <t xml:space="preserve">In bovenste grafiek staat de uitgangssituatie: bij een evenwichtsinkomen van 700 miljard is de goederenmarkt in evenwicht. De CB heeft de rente op 3% gezet (zie de middelste grafiek). </t>
  </si>
  <si>
    <t>De economie bevindt zich op het lange termijngroeipad.</t>
  </si>
  <si>
    <t>De potentiële productie is 700 miljard. De output gap is dus 0 procent (productie is gelijk aan potentiële productie).</t>
  </si>
  <si>
    <t>Y =</t>
  </si>
  <si>
    <t>Overheid</t>
  </si>
  <si>
    <t>(Y-B) +</t>
  </si>
  <si>
    <t>output gap</t>
  </si>
  <si>
    <t>Bij dit inkomen en deze rente is de inflatie 2,75% (zie de onderste grafiek).</t>
  </si>
  <si>
    <t>Opdracht 2: hoe hoog is in dit geval de output gap? Als de output gap negatief is, zet dan een -  voor het getal.</t>
  </si>
  <si>
    <t>%</t>
  </si>
  <si>
    <t>Opdracht 3: lees in de onderste grafiek af hoe hoog de nieuwe inflatie is en vul het getal in het gele vakje rechts in.</t>
  </si>
  <si>
    <t>miljard</t>
  </si>
  <si>
    <t>Opdracht 1: vul in het gele vakje hiernaast in hoeveel de overheid gaat bezuinigen.</t>
  </si>
  <si>
    <t>Multiplier</t>
  </si>
  <si>
    <t>Bij dit inkomen en deze rente is de inflatie 2 (zie de onderste grafiek).</t>
  </si>
  <si>
    <t>De potentiële productie is 500 miljard. De output gap is dus 0 procent (productie is gelijk aan potentiële productie).</t>
  </si>
  <si>
    <t>Opdracht 1: vul in het gele vakje hiernaast in hoeveel de overheid gaat besteden.</t>
  </si>
  <si>
    <t>De beginsituatie is dat de economie van een land zich bevindt op het lange termijn groeipad met een output gap van 0.</t>
  </si>
  <si>
    <t>Veel plezier!</t>
  </si>
  <si>
    <t xml:space="preserve">Er zijn twee oefeningen in de spreadsheet opgenomen: een oefening met overheidsbezuinigingen en een oefening met een toename van de overheidsbestedingen. </t>
  </si>
  <si>
    <r>
      <t xml:space="preserve">De overheid besluit de staatsschuld te verminderen en bezuinigt daarom op de uitgaven: </t>
    </r>
    <r>
      <rPr>
        <sz val="12"/>
        <color rgb="FFFFC000"/>
        <rFont val="Calibri"/>
        <family val="2"/>
        <scheme val="minor"/>
      </rPr>
      <t>de overheidsbestedingen (</t>
    </r>
    <r>
      <rPr>
        <i/>
        <sz val="12"/>
        <color rgb="FFFFC000"/>
        <rFont val="Calibri"/>
        <family val="2"/>
        <scheme val="minor"/>
      </rPr>
      <t>O</t>
    </r>
    <r>
      <rPr>
        <sz val="12"/>
        <color rgb="FFFFC000"/>
        <rFont val="Calibri"/>
        <family val="2"/>
        <scheme val="minor"/>
      </rPr>
      <t>) nemen af</t>
    </r>
    <r>
      <rPr>
        <sz val="12"/>
        <color theme="0"/>
        <rFont val="Calibri"/>
        <family val="2"/>
        <scheme val="minor"/>
      </rPr>
      <t xml:space="preserve">. </t>
    </r>
  </si>
  <si>
    <r>
      <t xml:space="preserve">Ten gevolge van een procyclisch begrotingsbeleid </t>
    </r>
    <r>
      <rPr>
        <sz val="12"/>
        <color rgb="FFFFC000"/>
        <rFont val="Calibri"/>
        <family val="2"/>
        <scheme val="minor"/>
      </rPr>
      <t>verhoogt de overheid de overheidsbestedingen (</t>
    </r>
    <r>
      <rPr>
        <i/>
        <sz val="12"/>
        <color rgb="FFFFC000"/>
        <rFont val="Calibri"/>
        <family val="2"/>
        <scheme val="minor"/>
      </rPr>
      <t>O</t>
    </r>
    <r>
      <rPr>
        <sz val="12"/>
        <color rgb="FFFFC000"/>
        <rFont val="Calibri"/>
        <family val="2"/>
        <scheme val="minor"/>
      </rPr>
      <t>)</t>
    </r>
    <r>
      <rPr>
        <sz val="12"/>
        <color theme="0"/>
        <rFont val="Calibri"/>
        <family val="2"/>
        <scheme val="minor"/>
      </rPr>
      <t xml:space="preserve">. </t>
    </r>
  </si>
  <si>
    <t>Opdracht 4: hoeveel procentpunt moet de rente dalen om de economie weer op het lange termijn groeipad te brengen met een output gap van 0?</t>
  </si>
  <si>
    <t>EV</t>
  </si>
  <si>
    <t>Opdracht 4: hoeveel procentpunt moet de rente stijgen om de economie weer op het lange termijn groeipad te brengen met een output gap van 0?</t>
  </si>
  <si>
    <t>Terug</t>
  </si>
  <si>
    <t>De oefeningen kunnen vaker, met ander getallen, worden gedaan. Vergeet niet alle eerder ingevoerde getallen te wissen.</t>
  </si>
  <si>
    <t>De opdrachten van de oefeningen moeten in de juiste volgorde worden gemaakt. Na elke goed gemaakte opdracht verschijnt er een tekst met uitleg.</t>
  </si>
  <si>
    <t>Deze spreadsheet is bedoeld om de werking van het IS-MB-GA model beter te leren begrijpen. Door het uitvoeren van een paar eenvoudige opdrachten is het effect van de uitkomsten te zien in de grafische weergave van het model.</t>
  </si>
  <si>
    <t>Ontdek welke invloed het overheidsbeleid en het monetaire beleid van de Centrale Bank (CB) hebben op het evenwichtsinkomen, de IS-lijn, de MB-lijn en de GA-lijn.</t>
  </si>
  <si>
    <t xml:space="preserve">In bovenste grafiek staat de uitgangssituatie: bij een evenwichtsinkomen van 500 miljard is de goederenmarkt in evenwicht. De CB heeft de rente op 2% gezet (zie de middelste grafiek).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</si>
</sst>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2"/>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u/>
      <sz val="11"/>
      <color theme="10"/>
      <name val="Calibri"/>
      <family val="2"/>
      <scheme val="minor"/>
    </font>
    <font>
      <b/>
      <u/>
      <sz val="11"/>
      <color theme="0"/>
      <name val="Calibri"/>
      <family val="2"/>
      <scheme val="minor"/>
    </font>
    <font>
      <b/>
      <sz val="14"/>
      <color rgb="FFFFFF99"/>
      <name val="Calibri"/>
      <family val="2"/>
      <scheme val="minor"/>
    </font>
    <font>
      <sz val="11"/>
      <color rgb="FFFF0000"/>
      <name val="Calibri"/>
      <family val="2"/>
      <scheme val="minor"/>
    </font>
    <font>
      <sz val="12"/>
      <color theme="0"/>
      <name val="Calibri"/>
      <family val="2"/>
      <scheme val="minor"/>
    </font>
    <font>
      <b/>
      <sz val="14"/>
      <color theme="0"/>
      <name val="Calibri"/>
      <family val="2"/>
      <scheme val="minor"/>
    </font>
    <font>
      <b/>
      <sz val="11"/>
      <name val="Calibri"/>
      <family val="2"/>
      <scheme val="minor"/>
    </font>
    <font>
      <sz val="11"/>
      <color rgb="FFFF0066"/>
      <name val="Calibri"/>
      <family val="2"/>
      <scheme val="minor"/>
    </font>
    <font>
      <sz val="11"/>
      <color rgb="FFCCECFF"/>
      <name val="Calibri"/>
      <family val="2"/>
      <scheme val="minor"/>
    </font>
    <font>
      <b/>
      <sz val="11"/>
      <color rgb="FFFFFF99"/>
      <name val="Calibri"/>
      <family val="2"/>
      <scheme val="minor"/>
    </font>
    <font>
      <sz val="12"/>
      <color theme="1"/>
      <name val="Calibri"/>
      <family val="2"/>
      <scheme val="minor"/>
    </font>
    <font>
      <i/>
      <sz val="12"/>
      <color theme="0"/>
      <name val="Calibri"/>
      <family val="2"/>
      <scheme val="minor"/>
    </font>
    <font>
      <b/>
      <sz val="11"/>
      <color rgb="FFFFFF00"/>
      <name val="Calibri"/>
      <family val="2"/>
      <scheme val="minor"/>
    </font>
    <font>
      <b/>
      <sz val="12"/>
      <color rgb="FFFFFF00"/>
      <name val="Calibri"/>
      <family val="2"/>
      <scheme val="minor"/>
    </font>
    <font>
      <b/>
      <sz val="14"/>
      <color rgb="FFFFFF00"/>
      <name val="Calibri"/>
      <family val="2"/>
      <scheme val="minor"/>
    </font>
    <font>
      <sz val="20"/>
      <color rgb="FFFFFF00"/>
      <name val="Calibri"/>
      <family val="2"/>
      <scheme val="minor"/>
    </font>
    <font>
      <sz val="11"/>
      <color rgb="FFFFFF00"/>
      <name val="Calibri"/>
      <family val="2"/>
      <scheme val="minor"/>
    </font>
    <font>
      <sz val="14"/>
      <color theme="0"/>
      <name val="Calibri"/>
      <family val="2"/>
      <scheme val="minor"/>
    </font>
    <font>
      <u/>
      <sz val="11"/>
      <color theme="0"/>
      <name val="Calibri"/>
      <family val="2"/>
      <scheme val="minor"/>
    </font>
    <font>
      <sz val="12"/>
      <color rgb="FFFFC000"/>
      <name val="Calibri"/>
      <family val="2"/>
      <scheme val="minor"/>
    </font>
    <font>
      <i/>
      <sz val="12"/>
      <color rgb="FFFFC000"/>
      <name val="Calibri"/>
      <family val="2"/>
      <scheme val="minor"/>
    </font>
  </fonts>
  <fills count="6">
    <fill>
      <patternFill patternType="none"/>
    </fill>
    <fill>
      <patternFill patternType="gray125"/>
    </fill>
    <fill>
      <patternFill patternType="solid">
        <fgColor theme="3" tint="-0.499984740745262"/>
        <bgColor indexed="64"/>
      </patternFill>
    </fill>
    <fill>
      <patternFill patternType="solid">
        <fgColor rgb="FFFFFF99"/>
        <bgColor indexed="64"/>
      </patternFill>
    </fill>
    <fill>
      <patternFill patternType="darkGrid">
        <bgColor rgb="FF002060"/>
      </patternFill>
    </fill>
    <fill>
      <patternFill patternType="solid">
        <fgColor rgb="FF0F243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47">
    <xf numFmtId="0" fontId="0" fillId="0" borderId="0" xfId="0"/>
    <xf numFmtId="0" fontId="8" fillId="2" borderId="0" xfId="0" applyFont="1" applyFill="1" applyProtection="1">
      <protection locked="0"/>
    </xf>
    <xf numFmtId="0" fontId="8" fillId="2" borderId="0" xfId="0" applyFont="1" applyFill="1"/>
    <xf numFmtId="0" fontId="5" fillId="2" borderId="0" xfId="0" applyFont="1" applyFill="1"/>
    <xf numFmtId="3" fontId="8" fillId="2" borderId="0" xfId="0" applyNumberFormat="1" applyFont="1" applyFill="1" applyProtection="1">
      <protection locked="0"/>
    </xf>
    <xf numFmtId="0" fontId="4" fillId="2" borderId="0" xfId="0" applyFont="1" applyFill="1"/>
    <xf numFmtId="0" fontId="0" fillId="2" borderId="0" xfId="0" applyFill="1"/>
    <xf numFmtId="0" fontId="10" fillId="2" borderId="0" xfId="0" applyFont="1" applyFill="1"/>
    <xf numFmtId="0" fontId="1" fillId="2" borderId="0" xfId="0" applyFont="1" applyFill="1"/>
    <xf numFmtId="0" fontId="9" fillId="2" borderId="0" xfId="0" applyFont="1" applyFill="1"/>
    <xf numFmtId="2" fontId="8" fillId="2" borderId="0" xfId="0" applyNumberFormat="1" applyFont="1" applyFill="1"/>
    <xf numFmtId="0" fontId="11" fillId="2" borderId="0" xfId="0" applyFont="1" applyFill="1"/>
    <xf numFmtId="0" fontId="4" fillId="2" borderId="0" xfId="0" applyFont="1" applyFill="1" applyAlignment="1">
      <alignment horizontal="right"/>
    </xf>
    <xf numFmtId="0" fontId="3" fillId="2" borderId="0" xfId="0" applyFont="1" applyFill="1"/>
    <xf numFmtId="0" fontId="2" fillId="2" borderId="0" xfId="0" applyFont="1" applyFill="1"/>
    <xf numFmtId="0" fontId="7" fillId="2" borderId="0" xfId="1" applyFont="1" applyFill="1" applyBorder="1" applyProtection="1"/>
    <xf numFmtId="0" fontId="13" fillId="2" borderId="0" xfId="0" applyFont="1" applyFill="1"/>
    <xf numFmtId="0" fontId="14" fillId="2" borderId="0" xfId="0" applyFont="1" applyFill="1"/>
    <xf numFmtId="0" fontId="7" fillId="4" borderId="0" xfId="1" applyFont="1" applyFill="1" applyBorder="1" applyProtection="1"/>
    <xf numFmtId="0" fontId="0" fillId="4" borderId="0" xfId="0" applyFill="1"/>
    <xf numFmtId="0" fontId="15" fillId="2" borderId="0" xfId="0" applyFont="1" applyFill="1" applyAlignment="1">
      <alignment horizontal="right"/>
    </xf>
    <xf numFmtId="0" fontId="15" fillId="2" borderId="0" xfId="0" applyFont="1" applyFill="1"/>
    <xf numFmtId="0" fontId="15" fillId="2" borderId="0" xfId="0" applyFont="1" applyFill="1" applyProtection="1">
      <protection locked="0"/>
    </xf>
    <xf numFmtId="0" fontId="15" fillId="2" borderId="0" xfId="0" applyFont="1" applyFill="1" applyAlignment="1">
      <alignment horizontal="left"/>
    </xf>
    <xf numFmtId="0" fontId="16" fillId="2" borderId="0" xfId="0" applyFont="1" applyFill="1"/>
    <xf numFmtId="0" fontId="10" fillId="5" borderId="0" xfId="0" applyFont="1" applyFill="1"/>
    <xf numFmtId="0" fontId="4" fillId="2" borderId="0" xfId="0" applyFont="1" applyFill="1" applyAlignment="1">
      <alignment horizontal="left"/>
    </xf>
    <xf numFmtId="0" fontId="2" fillId="2" borderId="0" xfId="0" applyFont="1" applyFill="1" applyProtection="1">
      <protection locked="0"/>
    </xf>
    <xf numFmtId="2" fontId="11" fillId="2" borderId="0" xfId="0" applyNumberFormat="1" applyFont="1" applyFill="1"/>
    <xf numFmtId="0" fontId="2" fillId="2" borderId="0" xfId="0" applyFont="1" applyFill="1" applyAlignment="1">
      <alignment horizontal="right"/>
    </xf>
    <xf numFmtId="0" fontId="18" fillId="2" borderId="0" xfId="0" applyFont="1" applyFill="1" applyAlignment="1">
      <alignment horizontal="left"/>
    </xf>
    <xf numFmtId="0" fontId="3" fillId="5" borderId="0" xfId="0" applyFont="1" applyFill="1" applyProtection="1">
      <protection locked="0"/>
    </xf>
    <xf numFmtId="0" fontId="12" fillId="5" borderId="0" xfId="0" applyFont="1" applyFill="1" applyProtection="1">
      <protection locked="0"/>
    </xf>
    <xf numFmtId="0" fontId="0" fillId="5" borderId="0" xfId="0" applyFill="1"/>
    <xf numFmtId="0" fontId="8" fillId="2" borderId="0" xfId="0" applyFont="1" applyFill="1" applyAlignment="1">
      <alignment horizontal="left"/>
    </xf>
    <xf numFmtId="0" fontId="17" fillId="2" borderId="0" xfId="0" applyFont="1" applyFill="1"/>
    <xf numFmtId="0" fontId="10" fillId="2" borderId="0" xfId="0" applyFont="1" applyFill="1" applyAlignment="1">
      <alignment horizontal="left"/>
    </xf>
    <xf numFmtId="0" fontId="16" fillId="2" borderId="0" xfId="0" applyFont="1" applyFill="1" applyAlignment="1">
      <alignment horizontal="right"/>
    </xf>
    <xf numFmtId="0" fontId="19" fillId="2" borderId="0" xfId="0" applyFont="1" applyFill="1"/>
    <xf numFmtId="0" fontId="18" fillId="2" borderId="0" xfId="0" applyFont="1" applyFill="1"/>
    <xf numFmtId="0" fontId="20" fillId="2" borderId="0" xfId="0" applyFont="1" applyFill="1"/>
    <xf numFmtId="0" fontId="21" fillId="2" borderId="0" xfId="0" applyFont="1" applyFill="1"/>
    <xf numFmtId="0" fontId="22" fillId="2" borderId="0" xfId="0" applyFont="1" applyFill="1"/>
    <xf numFmtId="0" fontId="1" fillId="3" borderId="1" xfId="0" applyFont="1" applyFill="1" applyBorder="1" applyProtection="1">
      <protection locked="0"/>
    </xf>
    <xf numFmtId="0" fontId="23" fillId="4" borderId="0" xfId="0" applyFont="1" applyFill="1"/>
    <xf numFmtId="0" fontId="6" fillId="2" borderId="0" xfId="1" applyFill="1"/>
    <xf numFmtId="0" fontId="24" fillId="2" borderId="0" xfId="1" applyFont="1" applyFill="1"/>
  </cellXfs>
  <cellStyles count="2">
    <cellStyle name="Hyperlink" xfId="1" builtinId="8"/>
    <cellStyle name="Standaard" xfId="0" builtinId="0"/>
  </cellStyles>
  <dxfs count="0"/>
  <tableStyles count="0" defaultTableStyle="TableStyleMedium2" defaultPivotStyle="PivotStyleMedium9"/>
  <colors>
    <mruColors>
      <color rgb="FF0F243E"/>
      <color rgb="FFFFFF99"/>
      <color rgb="FFCCE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image" Target="../media/image1.jpeg"/></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66815674014773"/>
          <c:y val="2.6417834134369569E-2"/>
          <c:w val="0.64694703921982755"/>
          <c:h val="0.84348842758291576"/>
        </c:manualLayout>
      </c:layout>
      <c:lineChart>
        <c:grouping val="standard"/>
        <c:varyColors val="0"/>
        <c:ser>
          <c:idx val="0"/>
          <c:order val="0"/>
          <c:tx>
            <c:v>Y = C+I+O</c:v>
          </c:tx>
          <c:marker>
            <c:symbol val="none"/>
          </c:marker>
          <c:cat>
            <c:numRef>
              <c:f>Overheidsbezuiniging!$AD$16:$AD$26</c:f>
              <c:numCache>
                <c:formatCode>General</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Overheidsbezuiniging!$AI$16:$AI$26</c:f>
              <c:numCache>
                <c:formatCode>General</c:formatCode>
                <c:ptCount val="11"/>
                <c:pt idx="0">
                  <c:v>280</c:v>
                </c:pt>
                <c:pt idx="1">
                  <c:v>340</c:v>
                </c:pt>
                <c:pt idx="2">
                  <c:v>400</c:v>
                </c:pt>
                <c:pt idx="3">
                  <c:v>460</c:v>
                </c:pt>
                <c:pt idx="4">
                  <c:v>520</c:v>
                </c:pt>
                <c:pt idx="5">
                  <c:v>580</c:v>
                </c:pt>
                <c:pt idx="6">
                  <c:v>640</c:v>
                </c:pt>
                <c:pt idx="7">
                  <c:v>700</c:v>
                </c:pt>
                <c:pt idx="8">
                  <c:v>760</c:v>
                </c:pt>
                <c:pt idx="9">
                  <c:v>820</c:v>
                </c:pt>
                <c:pt idx="10">
                  <c:v>880</c:v>
                </c:pt>
              </c:numCache>
            </c:numRef>
          </c:val>
          <c:smooth val="0"/>
          <c:extLst>
            <c:ext xmlns:c16="http://schemas.microsoft.com/office/drawing/2014/chart" uri="{C3380CC4-5D6E-409C-BE32-E72D297353CC}">
              <c16:uniqueId val="{00000000-BC0A-424B-BF67-07A63ABFE483}"/>
            </c:ext>
          </c:extLst>
        </c:ser>
        <c:ser>
          <c:idx val="1"/>
          <c:order val="1"/>
          <c:tx>
            <c:v>Y=EV</c:v>
          </c:tx>
          <c:marker>
            <c:symbol val="none"/>
          </c:marker>
          <c:cat>
            <c:numRef>
              <c:f>Overheidsbezuiniging!$AD$16:$AD$26</c:f>
              <c:numCache>
                <c:formatCode>General</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Overheidsbezuiniging!$AJ$16:$AJ$26</c:f>
              <c:numCache>
                <c:formatCode>General</c:formatCode>
                <c:ptCount val="11"/>
                <c:pt idx="0">
                  <c:v>0</c:v>
                </c:pt>
                <c:pt idx="1">
                  <c:v>100</c:v>
                </c:pt>
                <c:pt idx="2">
                  <c:v>200</c:v>
                </c:pt>
                <c:pt idx="3">
                  <c:v>300</c:v>
                </c:pt>
                <c:pt idx="4">
                  <c:v>400</c:v>
                </c:pt>
                <c:pt idx="5">
                  <c:v>500</c:v>
                </c:pt>
                <c:pt idx="6">
                  <c:v>600</c:v>
                </c:pt>
                <c:pt idx="7">
                  <c:v>700</c:v>
                </c:pt>
                <c:pt idx="8">
                  <c:v>800</c:v>
                </c:pt>
                <c:pt idx="9">
                  <c:v>900</c:v>
                </c:pt>
                <c:pt idx="10">
                  <c:v>1000</c:v>
                </c:pt>
              </c:numCache>
            </c:numRef>
          </c:val>
          <c:smooth val="0"/>
          <c:extLst>
            <c:ext xmlns:c16="http://schemas.microsoft.com/office/drawing/2014/chart" uri="{C3380CC4-5D6E-409C-BE32-E72D297353CC}">
              <c16:uniqueId val="{00000001-BC0A-424B-BF67-07A63ABFE483}"/>
            </c:ext>
          </c:extLst>
        </c:ser>
        <c:dLbls>
          <c:showLegendKey val="0"/>
          <c:showVal val="0"/>
          <c:showCatName val="0"/>
          <c:showSerName val="0"/>
          <c:showPercent val="0"/>
          <c:showBubbleSize val="0"/>
        </c:dLbls>
        <c:smooth val="0"/>
        <c:axId val="27727360"/>
        <c:axId val="27728896"/>
      </c:lineChart>
      <c:catAx>
        <c:axId val="27727360"/>
        <c:scaling>
          <c:orientation val="minMax"/>
        </c:scaling>
        <c:delete val="0"/>
        <c:axPos val="b"/>
        <c:minorGridlines/>
        <c:numFmt formatCode="General" sourceLinked="1"/>
        <c:majorTickMark val="out"/>
        <c:minorTickMark val="none"/>
        <c:tickLblPos val="nextTo"/>
        <c:txPr>
          <a:bodyPr rot="0" vert="horz"/>
          <a:lstStyle/>
          <a:p>
            <a:pPr>
              <a:defRPr/>
            </a:pPr>
            <a:endParaRPr lang="nl-NL"/>
          </a:p>
        </c:txPr>
        <c:crossAx val="27728896"/>
        <c:crossesAt val="0"/>
        <c:auto val="1"/>
        <c:lblAlgn val="ctr"/>
        <c:lblOffset val="100"/>
        <c:tickLblSkip val="1"/>
        <c:noMultiLvlLbl val="0"/>
      </c:catAx>
      <c:valAx>
        <c:axId val="27728896"/>
        <c:scaling>
          <c:orientation val="minMax"/>
          <c:max val="1000"/>
          <c:min val="0"/>
        </c:scaling>
        <c:delete val="0"/>
        <c:axPos val="l"/>
        <c:majorGridlines/>
        <c:numFmt formatCode="General" sourceLinked="1"/>
        <c:majorTickMark val="out"/>
        <c:minorTickMark val="none"/>
        <c:tickLblPos val="nextTo"/>
        <c:crossAx val="27727360"/>
        <c:crossesAt val="1"/>
        <c:crossBetween val="midCat"/>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effectLst>
          <a:glow>
            <a:schemeClr val="accent1">
              <a:alpha val="40000"/>
            </a:schemeClr>
          </a:glow>
          <a:softEdge rad="0"/>
        </a:effectLst>
        <a:scene3d>
          <a:camera prst="orthographicFront"/>
          <a:lightRig rig="threePt" dir="t"/>
        </a:scene3d>
        <a:sp3d>
          <a:bevelT/>
        </a:sp3d>
      </c:spPr>
    </c:plotArea>
    <c:legend>
      <c:legendPos val="r"/>
      <c:overlay val="0"/>
    </c:legend>
    <c:plotVisOnly val="1"/>
    <c:dispBlanksAs val="gap"/>
    <c:showDLblsOverMax val="0"/>
  </c:chart>
  <c:spPr>
    <a:blipFill>
      <a:blip xmlns:r="http://schemas.openxmlformats.org/officeDocument/2006/relationships" r:embed="rId1"/>
      <a:tile tx="0" ty="0" sx="100000" sy="100000" flip="none" algn="tl"/>
    </a:blipFill>
    <a:scene3d>
      <a:camera prst="orthographicFront"/>
      <a:lightRig rig="threePt" dir="t"/>
    </a:scene3d>
    <a:sp3d>
      <a:bevelT/>
    </a:sp3d>
  </c:spPr>
  <c:printSettings>
    <c:headerFooter>
      <c:oddFooter>&amp;LJ. de Jong&amp;CPagina &amp;P&amp;R&amp;D</c:oddFooter>
    </c:headerFooter>
    <c:pageMargins b="0.74803149606299213" l="0.70866141732283472" r="0.70866141732283472" t="0.74803149606299213" header="0.31496062992125984" footer="0.31496062992125984"/>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88252521066443"/>
          <c:y val="5.8011250471878002E-2"/>
          <c:w val="0.65429318818369175"/>
          <c:h val="0.81801483056554314"/>
        </c:manualLayout>
      </c:layout>
      <c:lineChart>
        <c:grouping val="standard"/>
        <c:varyColors val="0"/>
        <c:ser>
          <c:idx val="2"/>
          <c:order val="0"/>
          <c:tx>
            <c:v>Nieuwe MB</c:v>
          </c:tx>
          <c:marker>
            <c:symbol val="none"/>
          </c:marker>
          <c:val>
            <c:numRef>
              <c:f>Overheidsbezuiniging!$AO$16:$AO$26</c:f>
              <c:numCache>
                <c:formatCode>General</c:formatCode>
                <c:ptCount val="11"/>
                <c:pt idx="0">
                  <c:v>3</c:v>
                </c:pt>
                <c:pt idx="1">
                  <c:v>3</c:v>
                </c:pt>
                <c:pt idx="2">
                  <c:v>3</c:v>
                </c:pt>
                <c:pt idx="3">
                  <c:v>3</c:v>
                </c:pt>
                <c:pt idx="4">
                  <c:v>3</c:v>
                </c:pt>
                <c:pt idx="5">
                  <c:v>3</c:v>
                </c:pt>
                <c:pt idx="6">
                  <c:v>3</c:v>
                </c:pt>
                <c:pt idx="7">
                  <c:v>3</c:v>
                </c:pt>
                <c:pt idx="8">
                  <c:v>3</c:v>
                </c:pt>
                <c:pt idx="9">
                  <c:v>3</c:v>
                </c:pt>
                <c:pt idx="10">
                  <c:v>3</c:v>
                </c:pt>
              </c:numCache>
            </c:numRef>
          </c:val>
          <c:smooth val="0"/>
          <c:extLst>
            <c:ext xmlns:c16="http://schemas.microsoft.com/office/drawing/2014/chart" uri="{C3380CC4-5D6E-409C-BE32-E72D297353CC}">
              <c16:uniqueId val="{00000001-6EB2-4E38-A7BE-D1B614949CF3}"/>
            </c:ext>
          </c:extLst>
        </c:ser>
        <c:ser>
          <c:idx val="3"/>
          <c:order val="1"/>
          <c:tx>
            <c:v>Nieuwe IS</c:v>
          </c:tx>
          <c:spPr>
            <a:ln>
              <a:solidFill>
                <a:srgbClr val="FF0000"/>
              </a:solidFill>
            </a:ln>
          </c:spPr>
          <c:marker>
            <c:symbol val="none"/>
          </c:marker>
          <c:val>
            <c:numRef>
              <c:f>Overheidsbezuiniging!$AN$16:$AN$26</c:f>
              <c:numCache>
                <c:formatCode>General</c:formatCode>
                <c:ptCount val="11"/>
                <c:pt idx="0">
                  <c:v>10</c:v>
                </c:pt>
                <c:pt idx="1">
                  <c:v>9</c:v>
                </c:pt>
                <c:pt idx="2">
                  <c:v>8</c:v>
                </c:pt>
                <c:pt idx="3">
                  <c:v>7</c:v>
                </c:pt>
                <c:pt idx="4">
                  <c:v>6</c:v>
                </c:pt>
                <c:pt idx="5">
                  <c:v>5</c:v>
                </c:pt>
                <c:pt idx="6">
                  <c:v>4</c:v>
                </c:pt>
                <c:pt idx="7">
                  <c:v>3</c:v>
                </c:pt>
                <c:pt idx="8">
                  <c:v>2</c:v>
                </c:pt>
                <c:pt idx="9">
                  <c:v>1</c:v>
                </c:pt>
                <c:pt idx="10">
                  <c:v>0</c:v>
                </c:pt>
              </c:numCache>
            </c:numRef>
          </c:val>
          <c:smooth val="0"/>
          <c:extLst>
            <c:ext xmlns:c16="http://schemas.microsoft.com/office/drawing/2014/chart" uri="{C3380CC4-5D6E-409C-BE32-E72D297353CC}">
              <c16:uniqueId val="{00000002-6EB2-4E38-A7BE-D1B614949CF3}"/>
            </c:ext>
          </c:extLst>
        </c:ser>
        <c:ser>
          <c:idx val="0"/>
          <c:order val="2"/>
          <c:tx>
            <c:v>IS</c:v>
          </c:tx>
          <c:spPr>
            <a:ln>
              <a:solidFill>
                <a:schemeClr val="accent4"/>
              </a:solidFill>
            </a:ln>
          </c:spPr>
          <c:marker>
            <c:symbol val="none"/>
          </c:marker>
          <c:cat>
            <c:numRef>
              <c:f>Overheidsbezuiniging!$AD$16:$AD$26</c:f>
              <c:numCache>
                <c:formatCode>General</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Overheidsbezuiniging!$AK$16:$AK$26</c:f>
              <c:numCache>
                <c:formatCode>General</c:formatCode>
                <c:ptCount val="11"/>
                <c:pt idx="0">
                  <c:v>10</c:v>
                </c:pt>
                <c:pt idx="1">
                  <c:v>9</c:v>
                </c:pt>
                <c:pt idx="2">
                  <c:v>8</c:v>
                </c:pt>
                <c:pt idx="3">
                  <c:v>7</c:v>
                </c:pt>
                <c:pt idx="4">
                  <c:v>6</c:v>
                </c:pt>
                <c:pt idx="5">
                  <c:v>5</c:v>
                </c:pt>
                <c:pt idx="6">
                  <c:v>4</c:v>
                </c:pt>
                <c:pt idx="7">
                  <c:v>3</c:v>
                </c:pt>
                <c:pt idx="8">
                  <c:v>2</c:v>
                </c:pt>
                <c:pt idx="9">
                  <c:v>1</c:v>
                </c:pt>
                <c:pt idx="10">
                  <c:v>0</c:v>
                </c:pt>
              </c:numCache>
            </c:numRef>
          </c:val>
          <c:smooth val="0"/>
          <c:extLst>
            <c:ext xmlns:c16="http://schemas.microsoft.com/office/drawing/2014/chart" uri="{C3380CC4-5D6E-409C-BE32-E72D297353CC}">
              <c16:uniqueId val="{00000000-3E0C-45AF-8043-41C5B068892F}"/>
            </c:ext>
          </c:extLst>
        </c:ser>
        <c:ser>
          <c:idx val="1"/>
          <c:order val="3"/>
          <c:tx>
            <c:v>MB</c:v>
          </c:tx>
          <c:spPr>
            <a:ln>
              <a:solidFill>
                <a:schemeClr val="accent6">
                  <a:lumMod val="75000"/>
                </a:schemeClr>
              </a:solidFill>
            </a:ln>
          </c:spPr>
          <c:marker>
            <c:symbol val="none"/>
          </c:marker>
          <c:val>
            <c:numRef>
              <c:f>Overheidsbezuiniging!$AL$16:$AL$26</c:f>
              <c:numCache>
                <c:formatCode>General</c:formatCode>
                <c:ptCount val="11"/>
                <c:pt idx="0">
                  <c:v>3</c:v>
                </c:pt>
                <c:pt idx="1">
                  <c:v>3</c:v>
                </c:pt>
                <c:pt idx="2">
                  <c:v>3</c:v>
                </c:pt>
                <c:pt idx="3">
                  <c:v>3</c:v>
                </c:pt>
                <c:pt idx="4">
                  <c:v>3</c:v>
                </c:pt>
                <c:pt idx="5">
                  <c:v>3</c:v>
                </c:pt>
                <c:pt idx="6">
                  <c:v>3</c:v>
                </c:pt>
                <c:pt idx="7">
                  <c:v>3</c:v>
                </c:pt>
                <c:pt idx="8">
                  <c:v>3</c:v>
                </c:pt>
                <c:pt idx="9">
                  <c:v>3</c:v>
                </c:pt>
                <c:pt idx="10">
                  <c:v>3</c:v>
                </c:pt>
              </c:numCache>
            </c:numRef>
          </c:val>
          <c:smooth val="0"/>
          <c:extLst>
            <c:ext xmlns:c16="http://schemas.microsoft.com/office/drawing/2014/chart" uri="{C3380CC4-5D6E-409C-BE32-E72D297353CC}">
              <c16:uniqueId val="{00000002-5640-4B22-9A9A-70CFD631234A}"/>
            </c:ext>
          </c:extLst>
        </c:ser>
        <c:dLbls>
          <c:showLegendKey val="0"/>
          <c:showVal val="0"/>
          <c:showCatName val="0"/>
          <c:showSerName val="0"/>
          <c:showPercent val="0"/>
          <c:showBubbleSize val="0"/>
        </c:dLbls>
        <c:smooth val="0"/>
        <c:axId val="27745664"/>
        <c:axId val="27751552"/>
      </c:lineChart>
      <c:catAx>
        <c:axId val="27745664"/>
        <c:scaling>
          <c:orientation val="minMax"/>
        </c:scaling>
        <c:delete val="0"/>
        <c:axPos val="b"/>
        <c:minorGridlines/>
        <c:numFmt formatCode="General" sourceLinked="1"/>
        <c:majorTickMark val="out"/>
        <c:minorTickMark val="none"/>
        <c:tickLblPos val="nextTo"/>
        <c:txPr>
          <a:bodyPr rot="0" vert="horz" anchor="t" anchorCtr="0"/>
          <a:lstStyle/>
          <a:p>
            <a:pPr>
              <a:defRPr/>
            </a:pPr>
            <a:endParaRPr lang="nl-NL"/>
          </a:p>
        </c:txPr>
        <c:crossAx val="27751552"/>
        <c:crosses val="autoZero"/>
        <c:auto val="1"/>
        <c:lblAlgn val="ctr"/>
        <c:lblOffset val="100"/>
        <c:noMultiLvlLbl val="0"/>
      </c:catAx>
      <c:valAx>
        <c:axId val="27751552"/>
        <c:scaling>
          <c:orientation val="minMax"/>
          <c:max val="10"/>
          <c:min val="0"/>
        </c:scaling>
        <c:delete val="0"/>
        <c:axPos val="l"/>
        <c:majorGridlines/>
        <c:numFmt formatCode="General" sourceLinked="1"/>
        <c:majorTickMark val="out"/>
        <c:minorTickMark val="none"/>
        <c:tickLblPos val="nextTo"/>
        <c:crossAx val="27745664"/>
        <c:crosses val="autoZero"/>
        <c:crossBetween val="midCat"/>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scene3d>
          <a:camera prst="orthographicFront"/>
          <a:lightRig rig="threePt" dir="t"/>
        </a:scene3d>
        <a:sp3d>
          <a:bevelT/>
        </a:sp3d>
      </c:spPr>
    </c:plotArea>
    <c:legend>
      <c:legendPos val="r"/>
      <c:overlay val="0"/>
    </c:legend>
    <c:plotVisOnly val="1"/>
    <c:dispBlanksAs val="gap"/>
    <c:showDLblsOverMax val="0"/>
  </c:chart>
  <c:spPr>
    <a:blipFill>
      <a:blip xmlns:r="http://schemas.openxmlformats.org/officeDocument/2006/relationships" r:embed="rId1"/>
      <a:tile tx="0" ty="0" sx="100000" sy="100000" flip="none" algn="tl"/>
    </a:blipFill>
    <a:scene3d>
      <a:camera prst="orthographicFront"/>
      <a:lightRig rig="threePt" dir="t"/>
    </a:scene3d>
    <a:sp3d>
      <a:bevelT/>
    </a:sp3d>
  </c:sp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88252521066443"/>
          <c:y val="5.8011250471878002E-2"/>
          <c:w val="0.65114705212279356"/>
          <c:h val="0.81801483056554314"/>
        </c:manualLayout>
      </c:layout>
      <c:lineChart>
        <c:grouping val="standard"/>
        <c:varyColors val="0"/>
        <c:ser>
          <c:idx val="0"/>
          <c:order val="0"/>
          <c:tx>
            <c:v>Nieuwe GA</c:v>
          </c:tx>
          <c:marker>
            <c:symbol val="none"/>
          </c:marker>
          <c:val>
            <c:numRef>
              <c:f>Overheidsbezuiniging!$AP$16:$AP$26</c:f>
              <c:numCache>
                <c:formatCode>General</c:formatCode>
                <c:ptCount val="11"/>
                <c:pt idx="0">
                  <c:v>1</c:v>
                </c:pt>
                <c:pt idx="1">
                  <c:v>1.25</c:v>
                </c:pt>
                <c:pt idx="2">
                  <c:v>1.5</c:v>
                </c:pt>
                <c:pt idx="3">
                  <c:v>1.75</c:v>
                </c:pt>
                <c:pt idx="4">
                  <c:v>2</c:v>
                </c:pt>
                <c:pt idx="5">
                  <c:v>2.25</c:v>
                </c:pt>
                <c:pt idx="6">
                  <c:v>2.5</c:v>
                </c:pt>
                <c:pt idx="7">
                  <c:v>2.75</c:v>
                </c:pt>
                <c:pt idx="8">
                  <c:v>3</c:v>
                </c:pt>
                <c:pt idx="9">
                  <c:v>3.25</c:v>
                </c:pt>
                <c:pt idx="10">
                  <c:v>3.5</c:v>
                </c:pt>
              </c:numCache>
            </c:numRef>
          </c:val>
          <c:smooth val="0"/>
          <c:extLst>
            <c:ext xmlns:c16="http://schemas.microsoft.com/office/drawing/2014/chart" uri="{C3380CC4-5D6E-409C-BE32-E72D297353CC}">
              <c16:uniqueId val="{00000001-A745-4BA8-B487-8B05F6A1E519}"/>
            </c:ext>
          </c:extLst>
        </c:ser>
        <c:ser>
          <c:idx val="1"/>
          <c:order val="1"/>
          <c:tx>
            <c:v>GA</c:v>
          </c:tx>
          <c:spPr>
            <a:ln>
              <a:solidFill>
                <a:srgbClr val="FF0000"/>
              </a:solidFill>
            </a:ln>
          </c:spPr>
          <c:marker>
            <c:symbol val="none"/>
          </c:marker>
          <c:cat>
            <c:numRef>
              <c:f>Overheidsbezuiniging!$AD$16:$AD$26</c:f>
              <c:numCache>
                <c:formatCode>General</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Overheidsbezuiniging!$AM$16:$AM$26</c:f>
              <c:numCache>
                <c:formatCode>General</c:formatCode>
                <c:ptCount val="11"/>
                <c:pt idx="0">
                  <c:v>1</c:v>
                </c:pt>
                <c:pt idx="1">
                  <c:v>1.25</c:v>
                </c:pt>
                <c:pt idx="2">
                  <c:v>1.5</c:v>
                </c:pt>
                <c:pt idx="3">
                  <c:v>1.75</c:v>
                </c:pt>
                <c:pt idx="4">
                  <c:v>2</c:v>
                </c:pt>
                <c:pt idx="5">
                  <c:v>2.25</c:v>
                </c:pt>
                <c:pt idx="6">
                  <c:v>2.5</c:v>
                </c:pt>
                <c:pt idx="7">
                  <c:v>2.75</c:v>
                </c:pt>
                <c:pt idx="8">
                  <c:v>3</c:v>
                </c:pt>
                <c:pt idx="9">
                  <c:v>3.25</c:v>
                </c:pt>
                <c:pt idx="10">
                  <c:v>3.5</c:v>
                </c:pt>
              </c:numCache>
            </c:numRef>
          </c:val>
          <c:smooth val="0"/>
          <c:extLst>
            <c:ext xmlns:c16="http://schemas.microsoft.com/office/drawing/2014/chart" uri="{C3380CC4-5D6E-409C-BE32-E72D297353CC}">
              <c16:uniqueId val="{00000001-36C7-4134-A242-7EB8D0B75A6C}"/>
            </c:ext>
          </c:extLst>
        </c:ser>
        <c:dLbls>
          <c:showLegendKey val="0"/>
          <c:showVal val="0"/>
          <c:showCatName val="0"/>
          <c:showSerName val="0"/>
          <c:showPercent val="0"/>
          <c:showBubbleSize val="0"/>
        </c:dLbls>
        <c:smooth val="0"/>
        <c:axId val="27745664"/>
        <c:axId val="27751552"/>
      </c:lineChart>
      <c:catAx>
        <c:axId val="27745664"/>
        <c:scaling>
          <c:orientation val="minMax"/>
        </c:scaling>
        <c:delete val="0"/>
        <c:axPos val="b"/>
        <c:minorGridlines/>
        <c:numFmt formatCode="General" sourceLinked="1"/>
        <c:majorTickMark val="out"/>
        <c:minorTickMark val="none"/>
        <c:tickLblPos val="nextTo"/>
        <c:txPr>
          <a:bodyPr rot="0" vert="horz" anchor="t" anchorCtr="0"/>
          <a:lstStyle/>
          <a:p>
            <a:pPr>
              <a:defRPr/>
            </a:pPr>
            <a:endParaRPr lang="nl-NL"/>
          </a:p>
        </c:txPr>
        <c:crossAx val="27751552"/>
        <c:crosses val="autoZero"/>
        <c:auto val="1"/>
        <c:lblAlgn val="ctr"/>
        <c:lblOffset val="100"/>
        <c:noMultiLvlLbl val="0"/>
      </c:catAx>
      <c:valAx>
        <c:axId val="27751552"/>
        <c:scaling>
          <c:orientation val="minMax"/>
          <c:max val="5"/>
          <c:min val="0"/>
        </c:scaling>
        <c:delete val="0"/>
        <c:axPos val="l"/>
        <c:majorGridlines/>
        <c:numFmt formatCode="General" sourceLinked="1"/>
        <c:majorTickMark val="out"/>
        <c:minorTickMark val="none"/>
        <c:tickLblPos val="nextTo"/>
        <c:crossAx val="27745664"/>
        <c:crosses val="autoZero"/>
        <c:crossBetween val="midCat"/>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scene3d>
          <a:camera prst="orthographicFront"/>
          <a:lightRig rig="threePt" dir="t"/>
        </a:scene3d>
        <a:sp3d>
          <a:bevelT/>
        </a:sp3d>
      </c:spPr>
    </c:plotArea>
    <c:legend>
      <c:legendPos val="r"/>
      <c:overlay val="0"/>
    </c:legend>
    <c:plotVisOnly val="1"/>
    <c:dispBlanksAs val="gap"/>
    <c:showDLblsOverMax val="0"/>
  </c:chart>
  <c:spPr>
    <a:blipFill>
      <a:blip xmlns:r="http://schemas.openxmlformats.org/officeDocument/2006/relationships" r:embed="rId1"/>
      <a:tile tx="0" ty="0" sx="100000" sy="100000" flip="none" algn="tl"/>
    </a:blipFill>
    <a:scene3d>
      <a:camera prst="orthographicFront"/>
      <a:lightRig rig="threePt" dir="t"/>
    </a:scene3d>
    <a:sp3d>
      <a:bevelT/>
    </a:sp3d>
  </c:sp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66815674014773"/>
          <c:y val="2.6417834134369569E-2"/>
          <c:w val="0.66251522070015234"/>
          <c:h val="0.84348842758291576"/>
        </c:manualLayout>
      </c:layout>
      <c:lineChart>
        <c:grouping val="standard"/>
        <c:varyColors val="0"/>
        <c:ser>
          <c:idx val="0"/>
          <c:order val="0"/>
          <c:tx>
            <c:v>Y = C+I+O</c:v>
          </c:tx>
          <c:marker>
            <c:symbol val="none"/>
          </c:marker>
          <c:cat>
            <c:numRef>
              <c:f>Overheidsbesteding!$AD$16:$AD$26</c:f>
              <c:numCache>
                <c:formatCode>General</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Overheidsbesteding!$AI$16:$AI$26</c:f>
              <c:numCache>
                <c:formatCode>General</c:formatCode>
                <c:ptCount val="11"/>
                <c:pt idx="0">
                  <c:v>200</c:v>
                </c:pt>
                <c:pt idx="1">
                  <c:v>260</c:v>
                </c:pt>
                <c:pt idx="2">
                  <c:v>320</c:v>
                </c:pt>
                <c:pt idx="3">
                  <c:v>380</c:v>
                </c:pt>
                <c:pt idx="4">
                  <c:v>440</c:v>
                </c:pt>
                <c:pt idx="5">
                  <c:v>500</c:v>
                </c:pt>
                <c:pt idx="6">
                  <c:v>560</c:v>
                </c:pt>
                <c:pt idx="7">
                  <c:v>620</c:v>
                </c:pt>
                <c:pt idx="8">
                  <c:v>680</c:v>
                </c:pt>
                <c:pt idx="9">
                  <c:v>740</c:v>
                </c:pt>
                <c:pt idx="10">
                  <c:v>800</c:v>
                </c:pt>
              </c:numCache>
            </c:numRef>
          </c:val>
          <c:smooth val="0"/>
          <c:extLst>
            <c:ext xmlns:c16="http://schemas.microsoft.com/office/drawing/2014/chart" uri="{C3380CC4-5D6E-409C-BE32-E72D297353CC}">
              <c16:uniqueId val="{00000000-73FA-4628-8AA1-1C4866AEE378}"/>
            </c:ext>
          </c:extLst>
        </c:ser>
        <c:ser>
          <c:idx val="1"/>
          <c:order val="1"/>
          <c:tx>
            <c:v>Y=EV</c:v>
          </c:tx>
          <c:marker>
            <c:symbol val="none"/>
          </c:marker>
          <c:cat>
            <c:numRef>
              <c:f>Overheidsbesteding!$AD$16:$AD$26</c:f>
              <c:numCache>
                <c:formatCode>General</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Overheidsbesteding!$AJ$16:$AJ$26</c:f>
              <c:numCache>
                <c:formatCode>General</c:formatCode>
                <c:ptCount val="11"/>
                <c:pt idx="0">
                  <c:v>0</c:v>
                </c:pt>
                <c:pt idx="1">
                  <c:v>100</c:v>
                </c:pt>
                <c:pt idx="2">
                  <c:v>200</c:v>
                </c:pt>
                <c:pt idx="3">
                  <c:v>300</c:v>
                </c:pt>
                <c:pt idx="4">
                  <c:v>400</c:v>
                </c:pt>
                <c:pt idx="5">
                  <c:v>500</c:v>
                </c:pt>
                <c:pt idx="6">
                  <c:v>600</c:v>
                </c:pt>
                <c:pt idx="7">
                  <c:v>700</c:v>
                </c:pt>
                <c:pt idx="8">
                  <c:v>800</c:v>
                </c:pt>
                <c:pt idx="9">
                  <c:v>900</c:v>
                </c:pt>
                <c:pt idx="10">
                  <c:v>1000</c:v>
                </c:pt>
              </c:numCache>
            </c:numRef>
          </c:val>
          <c:smooth val="0"/>
          <c:extLst>
            <c:ext xmlns:c16="http://schemas.microsoft.com/office/drawing/2014/chart" uri="{C3380CC4-5D6E-409C-BE32-E72D297353CC}">
              <c16:uniqueId val="{00000001-73FA-4628-8AA1-1C4866AEE378}"/>
            </c:ext>
          </c:extLst>
        </c:ser>
        <c:dLbls>
          <c:showLegendKey val="0"/>
          <c:showVal val="0"/>
          <c:showCatName val="0"/>
          <c:showSerName val="0"/>
          <c:showPercent val="0"/>
          <c:showBubbleSize val="0"/>
        </c:dLbls>
        <c:smooth val="0"/>
        <c:axId val="27727360"/>
        <c:axId val="27728896"/>
      </c:lineChart>
      <c:catAx>
        <c:axId val="27727360"/>
        <c:scaling>
          <c:orientation val="minMax"/>
        </c:scaling>
        <c:delete val="0"/>
        <c:axPos val="b"/>
        <c:minorGridlines/>
        <c:numFmt formatCode="General" sourceLinked="1"/>
        <c:majorTickMark val="out"/>
        <c:minorTickMark val="none"/>
        <c:tickLblPos val="nextTo"/>
        <c:txPr>
          <a:bodyPr rot="0" vert="horz"/>
          <a:lstStyle/>
          <a:p>
            <a:pPr>
              <a:defRPr/>
            </a:pPr>
            <a:endParaRPr lang="nl-NL"/>
          </a:p>
        </c:txPr>
        <c:crossAx val="27728896"/>
        <c:crossesAt val="0"/>
        <c:auto val="1"/>
        <c:lblAlgn val="ctr"/>
        <c:lblOffset val="100"/>
        <c:tickLblSkip val="1"/>
        <c:noMultiLvlLbl val="0"/>
      </c:catAx>
      <c:valAx>
        <c:axId val="27728896"/>
        <c:scaling>
          <c:orientation val="minMax"/>
          <c:max val="1000"/>
          <c:min val="0"/>
        </c:scaling>
        <c:delete val="0"/>
        <c:axPos val="l"/>
        <c:majorGridlines/>
        <c:numFmt formatCode="General" sourceLinked="1"/>
        <c:majorTickMark val="out"/>
        <c:minorTickMark val="none"/>
        <c:tickLblPos val="nextTo"/>
        <c:crossAx val="27727360"/>
        <c:crossesAt val="1"/>
        <c:crossBetween val="midCat"/>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effectLst>
          <a:glow>
            <a:schemeClr val="accent1">
              <a:alpha val="40000"/>
            </a:schemeClr>
          </a:glow>
          <a:softEdge rad="0"/>
        </a:effectLst>
        <a:scene3d>
          <a:camera prst="orthographicFront"/>
          <a:lightRig rig="threePt" dir="t"/>
        </a:scene3d>
        <a:sp3d>
          <a:bevelT/>
        </a:sp3d>
      </c:spPr>
    </c:plotArea>
    <c:legend>
      <c:legendPos val="r"/>
      <c:overlay val="0"/>
    </c:legend>
    <c:plotVisOnly val="1"/>
    <c:dispBlanksAs val="gap"/>
    <c:showDLblsOverMax val="0"/>
  </c:chart>
  <c:spPr>
    <a:blipFill>
      <a:blip xmlns:r="http://schemas.openxmlformats.org/officeDocument/2006/relationships" r:embed="rId1"/>
      <a:tile tx="0" ty="0" sx="100000" sy="100000" flip="none" algn="tl"/>
    </a:blipFill>
    <a:scene3d>
      <a:camera prst="orthographicFront"/>
      <a:lightRig rig="threePt" dir="t"/>
    </a:scene3d>
    <a:sp3d>
      <a:bevelT/>
    </a:sp3d>
  </c:spPr>
  <c:printSettings>
    <c:headerFooter>
      <c:oddFooter>&amp;LJ. de Jong&amp;CPagina &amp;P&amp;R&amp;D</c:oddFooter>
    </c:headerFooter>
    <c:pageMargins b="0.74803149606299213" l="0.70866141732283472" r="0.70866141732283472" t="0.74803149606299213" header="0.31496062992125984" footer="0.31496062992125984"/>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88252521066443"/>
          <c:y val="5.8011250471878002E-2"/>
          <c:w val="0.66055460426179613"/>
          <c:h val="0.81801483056554314"/>
        </c:manualLayout>
      </c:layout>
      <c:lineChart>
        <c:grouping val="standard"/>
        <c:varyColors val="0"/>
        <c:ser>
          <c:idx val="3"/>
          <c:order val="0"/>
          <c:tx>
            <c:v>Nieuwe MB</c:v>
          </c:tx>
          <c:marker>
            <c:symbol val="none"/>
          </c:marker>
          <c:val>
            <c:numRef>
              <c:f>Overheidsbesteding!$AO$16:$AO$26</c:f>
              <c:numCache>
                <c:formatCode>General</c:formatCode>
                <c:ptCount val="11"/>
                <c:pt idx="0">
                  <c:v>2</c:v>
                </c:pt>
                <c:pt idx="1">
                  <c:v>2</c:v>
                </c:pt>
                <c:pt idx="2">
                  <c:v>2</c:v>
                </c:pt>
                <c:pt idx="3">
                  <c:v>2</c:v>
                </c:pt>
                <c:pt idx="4">
                  <c:v>2</c:v>
                </c:pt>
                <c:pt idx="5">
                  <c:v>2</c:v>
                </c:pt>
                <c:pt idx="6">
                  <c:v>2</c:v>
                </c:pt>
                <c:pt idx="7">
                  <c:v>2</c:v>
                </c:pt>
                <c:pt idx="8">
                  <c:v>2</c:v>
                </c:pt>
                <c:pt idx="9">
                  <c:v>2</c:v>
                </c:pt>
                <c:pt idx="10">
                  <c:v>2</c:v>
                </c:pt>
              </c:numCache>
            </c:numRef>
          </c:val>
          <c:smooth val="0"/>
          <c:extLst>
            <c:ext xmlns:c16="http://schemas.microsoft.com/office/drawing/2014/chart" uri="{C3380CC4-5D6E-409C-BE32-E72D297353CC}">
              <c16:uniqueId val="{00000002-10A3-44ED-9BB6-B084B0317D1E}"/>
            </c:ext>
          </c:extLst>
        </c:ser>
        <c:ser>
          <c:idx val="2"/>
          <c:order val="1"/>
          <c:tx>
            <c:v>Nieuwe IS</c:v>
          </c:tx>
          <c:marker>
            <c:symbol val="none"/>
          </c:marker>
          <c:val>
            <c:numRef>
              <c:f>Overheidsbesteding!$AN$16:$AN$26</c:f>
              <c:numCache>
                <c:formatCode>General</c:formatCode>
                <c:ptCount val="11"/>
                <c:pt idx="0">
                  <c:v>12</c:v>
                </c:pt>
                <c:pt idx="1">
                  <c:v>10</c:v>
                </c:pt>
                <c:pt idx="2">
                  <c:v>8</c:v>
                </c:pt>
                <c:pt idx="3">
                  <c:v>6</c:v>
                </c:pt>
                <c:pt idx="4">
                  <c:v>4</c:v>
                </c:pt>
                <c:pt idx="5">
                  <c:v>2</c:v>
                </c:pt>
                <c:pt idx="6">
                  <c:v>0</c:v>
                </c:pt>
                <c:pt idx="7">
                  <c:v>-2</c:v>
                </c:pt>
                <c:pt idx="8">
                  <c:v>-4</c:v>
                </c:pt>
                <c:pt idx="9">
                  <c:v>-6</c:v>
                </c:pt>
                <c:pt idx="10">
                  <c:v>-8</c:v>
                </c:pt>
              </c:numCache>
            </c:numRef>
          </c:val>
          <c:smooth val="0"/>
          <c:extLst>
            <c:ext xmlns:c16="http://schemas.microsoft.com/office/drawing/2014/chart" uri="{C3380CC4-5D6E-409C-BE32-E72D297353CC}">
              <c16:uniqueId val="{00000001-10A3-44ED-9BB6-B084B0317D1E}"/>
            </c:ext>
          </c:extLst>
        </c:ser>
        <c:ser>
          <c:idx val="0"/>
          <c:order val="2"/>
          <c:tx>
            <c:v>IS</c:v>
          </c:tx>
          <c:spPr>
            <a:ln>
              <a:solidFill>
                <a:schemeClr val="accent4"/>
              </a:solidFill>
            </a:ln>
          </c:spPr>
          <c:marker>
            <c:symbol val="none"/>
          </c:marker>
          <c:cat>
            <c:numRef>
              <c:f>Overheidsbesteding!$AD$16:$AD$26</c:f>
              <c:numCache>
                <c:formatCode>General</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Overheidsbesteding!$AK$16:$AK$26</c:f>
              <c:numCache>
                <c:formatCode>General</c:formatCode>
                <c:ptCount val="11"/>
                <c:pt idx="0">
                  <c:v>12</c:v>
                </c:pt>
                <c:pt idx="1">
                  <c:v>10</c:v>
                </c:pt>
                <c:pt idx="2">
                  <c:v>8</c:v>
                </c:pt>
                <c:pt idx="3">
                  <c:v>6</c:v>
                </c:pt>
                <c:pt idx="4">
                  <c:v>4</c:v>
                </c:pt>
                <c:pt idx="5">
                  <c:v>2</c:v>
                </c:pt>
                <c:pt idx="6">
                  <c:v>0</c:v>
                </c:pt>
                <c:pt idx="7">
                  <c:v>-2</c:v>
                </c:pt>
                <c:pt idx="8">
                  <c:v>-4</c:v>
                </c:pt>
                <c:pt idx="9">
                  <c:v>-6</c:v>
                </c:pt>
                <c:pt idx="10">
                  <c:v>-8</c:v>
                </c:pt>
              </c:numCache>
            </c:numRef>
          </c:val>
          <c:smooth val="0"/>
          <c:extLst>
            <c:ext xmlns:c16="http://schemas.microsoft.com/office/drawing/2014/chart" uri="{C3380CC4-5D6E-409C-BE32-E72D297353CC}">
              <c16:uniqueId val="{00000000-4C1C-43CC-B319-140578263806}"/>
            </c:ext>
          </c:extLst>
        </c:ser>
        <c:ser>
          <c:idx val="1"/>
          <c:order val="3"/>
          <c:tx>
            <c:v>MB</c:v>
          </c:tx>
          <c:spPr>
            <a:ln>
              <a:solidFill>
                <a:schemeClr val="accent6">
                  <a:lumMod val="75000"/>
                </a:schemeClr>
              </a:solidFill>
            </a:ln>
          </c:spPr>
          <c:marker>
            <c:symbol val="none"/>
          </c:marker>
          <c:val>
            <c:numRef>
              <c:f>Overheidsbesteding!$AL$16:$AL$26</c:f>
              <c:numCache>
                <c:formatCode>General</c:formatCode>
                <c:ptCount val="11"/>
                <c:pt idx="0">
                  <c:v>2</c:v>
                </c:pt>
                <c:pt idx="1">
                  <c:v>2</c:v>
                </c:pt>
                <c:pt idx="2">
                  <c:v>2</c:v>
                </c:pt>
                <c:pt idx="3">
                  <c:v>2</c:v>
                </c:pt>
                <c:pt idx="4">
                  <c:v>2</c:v>
                </c:pt>
                <c:pt idx="5">
                  <c:v>2</c:v>
                </c:pt>
                <c:pt idx="6">
                  <c:v>2</c:v>
                </c:pt>
                <c:pt idx="7">
                  <c:v>2</c:v>
                </c:pt>
                <c:pt idx="8">
                  <c:v>2</c:v>
                </c:pt>
                <c:pt idx="9">
                  <c:v>2</c:v>
                </c:pt>
                <c:pt idx="10">
                  <c:v>2</c:v>
                </c:pt>
              </c:numCache>
            </c:numRef>
          </c:val>
          <c:smooth val="0"/>
          <c:extLst>
            <c:ext xmlns:c16="http://schemas.microsoft.com/office/drawing/2014/chart" uri="{C3380CC4-5D6E-409C-BE32-E72D297353CC}">
              <c16:uniqueId val="{00000001-4C1C-43CC-B319-140578263806}"/>
            </c:ext>
          </c:extLst>
        </c:ser>
        <c:dLbls>
          <c:showLegendKey val="0"/>
          <c:showVal val="0"/>
          <c:showCatName val="0"/>
          <c:showSerName val="0"/>
          <c:showPercent val="0"/>
          <c:showBubbleSize val="0"/>
        </c:dLbls>
        <c:smooth val="0"/>
        <c:axId val="27745664"/>
        <c:axId val="27751552"/>
      </c:lineChart>
      <c:catAx>
        <c:axId val="27745664"/>
        <c:scaling>
          <c:orientation val="minMax"/>
        </c:scaling>
        <c:delete val="0"/>
        <c:axPos val="b"/>
        <c:minorGridlines/>
        <c:numFmt formatCode="General" sourceLinked="1"/>
        <c:majorTickMark val="out"/>
        <c:minorTickMark val="none"/>
        <c:tickLblPos val="nextTo"/>
        <c:txPr>
          <a:bodyPr rot="0" vert="horz" anchor="t" anchorCtr="0"/>
          <a:lstStyle/>
          <a:p>
            <a:pPr>
              <a:defRPr/>
            </a:pPr>
            <a:endParaRPr lang="nl-NL"/>
          </a:p>
        </c:txPr>
        <c:crossAx val="27751552"/>
        <c:crosses val="autoZero"/>
        <c:auto val="1"/>
        <c:lblAlgn val="ctr"/>
        <c:lblOffset val="100"/>
        <c:noMultiLvlLbl val="0"/>
      </c:catAx>
      <c:valAx>
        <c:axId val="27751552"/>
        <c:scaling>
          <c:orientation val="minMax"/>
          <c:max val="10"/>
          <c:min val="0"/>
        </c:scaling>
        <c:delete val="0"/>
        <c:axPos val="l"/>
        <c:majorGridlines/>
        <c:numFmt formatCode="General" sourceLinked="1"/>
        <c:majorTickMark val="out"/>
        <c:minorTickMark val="none"/>
        <c:tickLblPos val="nextTo"/>
        <c:crossAx val="27745664"/>
        <c:crosses val="autoZero"/>
        <c:crossBetween val="midCat"/>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scene3d>
          <a:camera prst="orthographicFront"/>
          <a:lightRig rig="threePt" dir="t"/>
        </a:scene3d>
        <a:sp3d>
          <a:bevelT/>
        </a:sp3d>
      </c:spPr>
    </c:plotArea>
    <c:legend>
      <c:legendPos val="r"/>
      <c:overlay val="0"/>
    </c:legend>
    <c:plotVisOnly val="1"/>
    <c:dispBlanksAs val="gap"/>
    <c:showDLblsOverMax val="0"/>
  </c:chart>
  <c:spPr>
    <a:blipFill>
      <a:blip xmlns:r="http://schemas.openxmlformats.org/officeDocument/2006/relationships" r:embed="rId1"/>
      <a:tile tx="0" ty="0" sx="100000" sy="100000" flip="none" algn="tl"/>
    </a:blipFill>
    <a:scene3d>
      <a:camera prst="orthographicFront"/>
      <a:lightRig rig="threePt" dir="t"/>
    </a:scene3d>
    <a:sp3d>
      <a:bevelT/>
    </a:sp3d>
  </c:sp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88252521066443"/>
          <c:y val="5.8011250471878002E-2"/>
          <c:w val="0.65755136986301366"/>
          <c:h val="0.81801483056554314"/>
        </c:manualLayout>
      </c:layout>
      <c:lineChart>
        <c:grouping val="standard"/>
        <c:varyColors val="0"/>
        <c:ser>
          <c:idx val="0"/>
          <c:order val="0"/>
          <c:tx>
            <c:v>Nieuwe GA</c:v>
          </c:tx>
          <c:marker>
            <c:symbol val="none"/>
          </c:marker>
          <c:val>
            <c:numRef>
              <c:f>Overheidsbesteding!$AP$16:$AP$26</c:f>
              <c:numCache>
                <c:formatCode>General</c:formatCode>
                <c:ptCount val="11"/>
                <c:pt idx="0">
                  <c:v>0.75</c:v>
                </c:pt>
                <c:pt idx="1">
                  <c:v>1</c:v>
                </c:pt>
                <c:pt idx="2">
                  <c:v>1.25</c:v>
                </c:pt>
                <c:pt idx="3">
                  <c:v>1.5</c:v>
                </c:pt>
                <c:pt idx="4">
                  <c:v>1.75</c:v>
                </c:pt>
                <c:pt idx="5">
                  <c:v>2</c:v>
                </c:pt>
                <c:pt idx="6">
                  <c:v>2.25</c:v>
                </c:pt>
                <c:pt idx="7">
                  <c:v>2.5</c:v>
                </c:pt>
                <c:pt idx="8">
                  <c:v>2.75</c:v>
                </c:pt>
                <c:pt idx="9">
                  <c:v>3</c:v>
                </c:pt>
                <c:pt idx="10">
                  <c:v>3.25</c:v>
                </c:pt>
              </c:numCache>
            </c:numRef>
          </c:val>
          <c:smooth val="0"/>
          <c:extLst>
            <c:ext xmlns:c16="http://schemas.microsoft.com/office/drawing/2014/chart" uri="{C3380CC4-5D6E-409C-BE32-E72D297353CC}">
              <c16:uniqueId val="{00000001-7A29-4291-A8A7-85166A77F75A}"/>
            </c:ext>
          </c:extLst>
        </c:ser>
        <c:ser>
          <c:idx val="1"/>
          <c:order val="1"/>
          <c:tx>
            <c:v>GA</c:v>
          </c:tx>
          <c:spPr>
            <a:ln>
              <a:solidFill>
                <a:srgbClr val="FF0000"/>
              </a:solidFill>
            </a:ln>
          </c:spPr>
          <c:marker>
            <c:symbol val="none"/>
          </c:marker>
          <c:cat>
            <c:numRef>
              <c:f>Overheidsbesteding!$AD$16:$AD$26</c:f>
              <c:numCache>
                <c:formatCode>General</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Overheidsbesteding!$AM$16:$AM$26</c:f>
              <c:numCache>
                <c:formatCode>General</c:formatCode>
                <c:ptCount val="11"/>
                <c:pt idx="0">
                  <c:v>0.75</c:v>
                </c:pt>
                <c:pt idx="1">
                  <c:v>1</c:v>
                </c:pt>
                <c:pt idx="2">
                  <c:v>1.25</c:v>
                </c:pt>
                <c:pt idx="3">
                  <c:v>1.5</c:v>
                </c:pt>
                <c:pt idx="4">
                  <c:v>1.75</c:v>
                </c:pt>
                <c:pt idx="5">
                  <c:v>2</c:v>
                </c:pt>
                <c:pt idx="6">
                  <c:v>2.25</c:v>
                </c:pt>
                <c:pt idx="7">
                  <c:v>2.5</c:v>
                </c:pt>
                <c:pt idx="8">
                  <c:v>2.75</c:v>
                </c:pt>
                <c:pt idx="9">
                  <c:v>3</c:v>
                </c:pt>
                <c:pt idx="10">
                  <c:v>3.25</c:v>
                </c:pt>
              </c:numCache>
            </c:numRef>
          </c:val>
          <c:smooth val="0"/>
          <c:extLst>
            <c:ext xmlns:c16="http://schemas.microsoft.com/office/drawing/2014/chart" uri="{C3380CC4-5D6E-409C-BE32-E72D297353CC}">
              <c16:uniqueId val="{00000000-2DEE-4EDA-A3B8-7FC56E8589DE}"/>
            </c:ext>
          </c:extLst>
        </c:ser>
        <c:dLbls>
          <c:showLegendKey val="0"/>
          <c:showVal val="0"/>
          <c:showCatName val="0"/>
          <c:showSerName val="0"/>
          <c:showPercent val="0"/>
          <c:showBubbleSize val="0"/>
        </c:dLbls>
        <c:smooth val="0"/>
        <c:axId val="27745664"/>
        <c:axId val="27751552"/>
      </c:lineChart>
      <c:catAx>
        <c:axId val="27745664"/>
        <c:scaling>
          <c:orientation val="minMax"/>
        </c:scaling>
        <c:delete val="0"/>
        <c:axPos val="b"/>
        <c:minorGridlines/>
        <c:numFmt formatCode="General" sourceLinked="1"/>
        <c:majorTickMark val="out"/>
        <c:minorTickMark val="none"/>
        <c:tickLblPos val="nextTo"/>
        <c:txPr>
          <a:bodyPr rot="0" vert="horz" anchor="t" anchorCtr="0"/>
          <a:lstStyle/>
          <a:p>
            <a:pPr>
              <a:defRPr/>
            </a:pPr>
            <a:endParaRPr lang="nl-NL"/>
          </a:p>
        </c:txPr>
        <c:crossAx val="27751552"/>
        <c:crosses val="autoZero"/>
        <c:auto val="1"/>
        <c:lblAlgn val="ctr"/>
        <c:lblOffset val="100"/>
        <c:noMultiLvlLbl val="0"/>
      </c:catAx>
      <c:valAx>
        <c:axId val="27751552"/>
        <c:scaling>
          <c:orientation val="minMax"/>
          <c:max val="5"/>
          <c:min val="0"/>
        </c:scaling>
        <c:delete val="0"/>
        <c:axPos val="l"/>
        <c:majorGridlines/>
        <c:numFmt formatCode="General" sourceLinked="1"/>
        <c:majorTickMark val="out"/>
        <c:minorTickMark val="none"/>
        <c:tickLblPos val="nextTo"/>
        <c:crossAx val="27745664"/>
        <c:crosses val="autoZero"/>
        <c:crossBetween val="midCat"/>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scene3d>
          <a:camera prst="orthographicFront"/>
          <a:lightRig rig="threePt" dir="t"/>
        </a:scene3d>
        <a:sp3d>
          <a:bevelT/>
        </a:sp3d>
      </c:spPr>
    </c:plotArea>
    <c:legend>
      <c:legendPos val="r"/>
      <c:overlay val="0"/>
    </c:legend>
    <c:plotVisOnly val="1"/>
    <c:dispBlanksAs val="gap"/>
    <c:showDLblsOverMax val="0"/>
  </c:chart>
  <c:spPr>
    <a:blipFill>
      <a:blip xmlns:r="http://schemas.openxmlformats.org/officeDocument/2006/relationships" r:embed="rId1"/>
      <a:tile tx="0" ty="0" sx="100000" sy="100000" flip="none" algn="tl"/>
    </a:blipFill>
    <a:scene3d>
      <a:camera prst="orthographicFront"/>
      <a:lightRig rig="threePt" dir="t"/>
    </a:scene3d>
    <a:sp3d>
      <a:bevelT/>
    </a:sp3d>
  </c:sp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Overheidsbesteding!A1"/><Relationship Id="rId1" Type="http://schemas.openxmlformats.org/officeDocument/2006/relationships/hyperlink" Target="#Overheidsbezuiniging!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7</xdr:col>
      <xdr:colOff>266700</xdr:colOff>
      <xdr:row>4</xdr:row>
      <xdr:rowOff>126498</xdr:rowOff>
    </xdr:from>
    <xdr:ext cx="8086725" cy="593304"/>
    <xdr:sp macro="" textlink="">
      <xdr:nvSpPr>
        <xdr:cNvPr id="2" name="Rechthoek 1">
          <a:extLst>
            <a:ext uri="{FF2B5EF4-FFF2-40B4-BE49-F238E27FC236}">
              <a16:creationId xmlns:a16="http://schemas.microsoft.com/office/drawing/2014/main" id="{00000000-0008-0000-0000-000002000000}"/>
            </a:ext>
          </a:extLst>
        </xdr:cNvPr>
        <xdr:cNvSpPr/>
      </xdr:nvSpPr>
      <xdr:spPr>
        <a:xfrm>
          <a:off x="4533900" y="888498"/>
          <a:ext cx="8086725" cy="593304"/>
        </a:xfrm>
        <a:prstGeom prst="rect">
          <a:avLst/>
        </a:prstGeom>
        <a:noFill/>
      </xdr:spPr>
      <xdr:txBody>
        <a:bodyPr wrap="square" lIns="91440" tIns="45720" rIns="91440" bIns="45720">
          <a:spAutoFit/>
        </a:bodyPr>
        <a:lstStyle/>
        <a:p>
          <a:pPr algn="ctr"/>
          <a:r>
            <a:rPr lang="nl-NL" sz="32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Het IS-MB-GA model</a:t>
          </a:r>
        </a:p>
      </xdr:txBody>
    </xdr:sp>
    <xdr:clientData/>
  </xdr:oneCellAnchor>
  <xdr:oneCellAnchor>
    <xdr:from>
      <xdr:col>6</xdr:col>
      <xdr:colOff>209549</xdr:colOff>
      <xdr:row>18</xdr:row>
      <xdr:rowOff>171450</xdr:rowOff>
    </xdr:from>
    <xdr:ext cx="4410075" cy="593239"/>
    <xdr:sp macro="" textlink="">
      <xdr:nvSpPr>
        <xdr:cNvPr id="7" name="Rechthoek 6">
          <a:hlinkClick xmlns:r="http://schemas.openxmlformats.org/officeDocument/2006/relationships" r:id="rId1"/>
          <a:extLst>
            <a:ext uri="{FF2B5EF4-FFF2-40B4-BE49-F238E27FC236}">
              <a16:creationId xmlns:a16="http://schemas.microsoft.com/office/drawing/2014/main" id="{382293D1-F343-4C47-BA96-3E08AFE8AD0E}"/>
            </a:ext>
          </a:extLst>
        </xdr:cNvPr>
        <xdr:cNvSpPr/>
      </xdr:nvSpPr>
      <xdr:spPr>
        <a:xfrm>
          <a:off x="3867149" y="3933825"/>
          <a:ext cx="4410075" cy="593239"/>
        </a:xfrm>
        <a:prstGeom prst="rect">
          <a:avLst/>
        </a:prstGeom>
        <a:noFill/>
      </xdr:spPr>
      <xdr:txBody>
        <a:bodyPr wrap="square" lIns="91440" tIns="45720" rIns="91440" bIns="45720">
          <a:spAutoFit/>
        </a:bodyPr>
        <a:lstStyle/>
        <a:p>
          <a:pPr algn="ctr"/>
          <a:r>
            <a:rPr lang="nl-NL" sz="1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Klik hier voor een oefening met een </a:t>
          </a:r>
          <a:r>
            <a:rPr lang="nl-NL" sz="1600" b="1" cap="none" spc="0">
              <a:ln w="1905"/>
              <a:solidFill>
                <a:srgbClr val="FFFF00"/>
              </a:solidFill>
              <a:effectLst>
                <a:innerShdw blurRad="69850" dist="43180" dir="5400000">
                  <a:srgbClr val="000000">
                    <a:alpha val="65000"/>
                  </a:srgbClr>
                </a:innerShdw>
              </a:effectLst>
            </a:rPr>
            <a:t>afname</a:t>
          </a:r>
          <a:r>
            <a:rPr lang="nl-NL" sz="1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van de overheidsbestedingen</a:t>
          </a:r>
        </a:p>
      </xdr:txBody>
    </xdr:sp>
    <xdr:clientData/>
  </xdr:oneCellAnchor>
  <xdr:oneCellAnchor>
    <xdr:from>
      <xdr:col>14</xdr:col>
      <xdr:colOff>581025</xdr:colOff>
      <xdr:row>18</xdr:row>
      <xdr:rowOff>161925</xdr:rowOff>
    </xdr:from>
    <xdr:ext cx="4410075" cy="593239"/>
    <xdr:sp macro="" textlink="">
      <xdr:nvSpPr>
        <xdr:cNvPr id="8" name="Rechthoek 7">
          <a:hlinkClick xmlns:r="http://schemas.openxmlformats.org/officeDocument/2006/relationships" r:id="rId2"/>
          <a:extLst>
            <a:ext uri="{FF2B5EF4-FFF2-40B4-BE49-F238E27FC236}">
              <a16:creationId xmlns:a16="http://schemas.microsoft.com/office/drawing/2014/main" id="{C17B9292-D283-4250-8E9B-6A4635865A14}"/>
            </a:ext>
          </a:extLst>
        </xdr:cNvPr>
        <xdr:cNvSpPr/>
      </xdr:nvSpPr>
      <xdr:spPr>
        <a:xfrm>
          <a:off x="9115425" y="3924300"/>
          <a:ext cx="4410075" cy="593239"/>
        </a:xfrm>
        <a:prstGeom prst="rect">
          <a:avLst/>
        </a:prstGeom>
        <a:noFill/>
      </xdr:spPr>
      <xdr:txBody>
        <a:bodyPr wrap="square" lIns="91440" tIns="45720" rIns="91440" bIns="45720">
          <a:spAutoFit/>
        </a:bodyPr>
        <a:lstStyle/>
        <a:p>
          <a:pPr algn="ctr"/>
          <a:r>
            <a:rPr lang="nl-NL" sz="1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Klik hier voor een oefening met een </a:t>
          </a:r>
          <a:r>
            <a:rPr lang="nl-NL" sz="1600" b="1" cap="none" spc="0">
              <a:ln w="1905"/>
              <a:solidFill>
                <a:srgbClr val="FFFF00"/>
              </a:solidFill>
              <a:effectLst>
                <a:innerShdw blurRad="69850" dist="43180" dir="5400000">
                  <a:srgbClr val="000000">
                    <a:alpha val="65000"/>
                  </a:srgbClr>
                </a:innerShdw>
              </a:effectLst>
            </a:rPr>
            <a:t>toename</a:t>
          </a:r>
          <a:r>
            <a:rPr lang="nl-NL" sz="1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van de overheidsbestedingen</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29</xdr:col>
      <xdr:colOff>47626</xdr:colOff>
      <xdr:row>0</xdr:row>
      <xdr:rowOff>38100</xdr:rowOff>
    </xdr:from>
    <xdr:to>
      <xdr:col>42</xdr:col>
      <xdr:colOff>464926</xdr:colOff>
      <xdr:row>12</xdr:row>
      <xdr:rowOff>88050</xdr:rowOff>
    </xdr:to>
    <xdr:graphicFrame macro="">
      <xdr:nvGraphicFramePr>
        <xdr:cNvPr id="2" name="Grafiek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47626</xdr:colOff>
      <xdr:row>12</xdr:row>
      <xdr:rowOff>85726</xdr:rowOff>
    </xdr:from>
    <xdr:to>
      <xdr:col>42</xdr:col>
      <xdr:colOff>464926</xdr:colOff>
      <xdr:row>24</xdr:row>
      <xdr:rowOff>40426</xdr:rowOff>
    </xdr:to>
    <xdr:graphicFrame macro="">
      <xdr:nvGraphicFramePr>
        <xdr:cNvPr id="3" name="Grafiek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76200</xdr:colOff>
      <xdr:row>24</xdr:row>
      <xdr:rowOff>76200</xdr:rowOff>
    </xdr:from>
    <xdr:to>
      <xdr:col>29</xdr:col>
      <xdr:colOff>312371</xdr:colOff>
      <xdr:row>25</xdr:row>
      <xdr:rowOff>80938</xdr:rowOff>
    </xdr:to>
    <xdr:sp macro="" textlink="">
      <xdr:nvSpPr>
        <xdr:cNvPr id="4" name="Tekstvak 1">
          <a:extLst>
            <a:ext uri="{FF2B5EF4-FFF2-40B4-BE49-F238E27FC236}">
              <a16:creationId xmlns:a16="http://schemas.microsoft.com/office/drawing/2014/main" id="{00000000-0008-0000-0200-000004000000}"/>
            </a:ext>
          </a:extLst>
        </xdr:cNvPr>
        <xdr:cNvSpPr txBox="1"/>
      </xdr:nvSpPr>
      <xdr:spPr>
        <a:xfrm>
          <a:off x="6096000" y="3733800"/>
          <a:ext cx="236171" cy="24286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29</xdr:col>
      <xdr:colOff>76200</xdr:colOff>
      <xdr:row>24</xdr:row>
      <xdr:rowOff>76200</xdr:rowOff>
    </xdr:from>
    <xdr:to>
      <xdr:col>29</xdr:col>
      <xdr:colOff>312371</xdr:colOff>
      <xdr:row>25</xdr:row>
      <xdr:rowOff>80938</xdr:rowOff>
    </xdr:to>
    <xdr:sp macro="" textlink="">
      <xdr:nvSpPr>
        <xdr:cNvPr id="7" name="Tekstvak 1">
          <a:extLst>
            <a:ext uri="{FF2B5EF4-FFF2-40B4-BE49-F238E27FC236}">
              <a16:creationId xmlns:a16="http://schemas.microsoft.com/office/drawing/2014/main" id="{79CD8DA3-8418-41A9-ABF0-A1733A071527}"/>
            </a:ext>
          </a:extLst>
        </xdr:cNvPr>
        <xdr:cNvSpPr txBox="1"/>
      </xdr:nvSpPr>
      <xdr:spPr>
        <a:xfrm>
          <a:off x="6448425" y="5581650"/>
          <a:ext cx="236171" cy="2619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8" name="Tekstvak 1">
          <a:extLst>
            <a:ext uri="{FF2B5EF4-FFF2-40B4-BE49-F238E27FC236}">
              <a16:creationId xmlns:a16="http://schemas.microsoft.com/office/drawing/2014/main" id="{3648E19E-6B31-46C0-9351-73ED8A84F2EF}"/>
            </a:ext>
          </a:extLst>
        </xdr:cNvPr>
        <xdr:cNvSpPr txBox="1"/>
      </xdr:nvSpPr>
      <xdr:spPr>
        <a:xfrm>
          <a:off x="6448425" y="5581650"/>
          <a:ext cx="236171" cy="2619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9" name="Tekstvak 1">
          <a:extLst>
            <a:ext uri="{FF2B5EF4-FFF2-40B4-BE49-F238E27FC236}">
              <a16:creationId xmlns:a16="http://schemas.microsoft.com/office/drawing/2014/main" id="{A4D12C6C-D442-4A21-AA30-867ED46100C5}"/>
            </a:ext>
          </a:extLst>
        </xdr:cNvPr>
        <xdr:cNvSpPr txBox="1"/>
      </xdr:nvSpPr>
      <xdr:spPr>
        <a:xfrm>
          <a:off x="6448425" y="5581650"/>
          <a:ext cx="236171" cy="2619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10" name="Tekstvak 1">
          <a:extLst>
            <a:ext uri="{FF2B5EF4-FFF2-40B4-BE49-F238E27FC236}">
              <a16:creationId xmlns:a16="http://schemas.microsoft.com/office/drawing/2014/main" id="{DE1EAEB7-5929-44B8-8686-70FDB17DB3F4}"/>
            </a:ext>
          </a:extLst>
        </xdr:cNvPr>
        <xdr:cNvSpPr txBox="1"/>
      </xdr:nvSpPr>
      <xdr:spPr>
        <a:xfrm>
          <a:off x="6448425" y="5581650"/>
          <a:ext cx="236171" cy="2619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11" name="Tekstvak 1">
          <a:extLst>
            <a:ext uri="{FF2B5EF4-FFF2-40B4-BE49-F238E27FC236}">
              <a16:creationId xmlns:a16="http://schemas.microsoft.com/office/drawing/2014/main" id="{B72EA8F1-FCFD-457D-A086-087E5DD6E57E}"/>
            </a:ext>
          </a:extLst>
        </xdr:cNvPr>
        <xdr:cNvSpPr txBox="1"/>
      </xdr:nvSpPr>
      <xdr:spPr>
        <a:xfrm>
          <a:off x="6448425" y="5581650"/>
          <a:ext cx="236171" cy="2619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12" name="Tekstvak 1">
          <a:extLst>
            <a:ext uri="{FF2B5EF4-FFF2-40B4-BE49-F238E27FC236}">
              <a16:creationId xmlns:a16="http://schemas.microsoft.com/office/drawing/2014/main" id="{99A9E6FE-5F06-4A57-BB65-AFD72A30C554}"/>
            </a:ext>
          </a:extLst>
        </xdr:cNvPr>
        <xdr:cNvSpPr txBox="1"/>
      </xdr:nvSpPr>
      <xdr:spPr>
        <a:xfrm>
          <a:off x="6448425" y="5581650"/>
          <a:ext cx="236171" cy="2619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13" name="Tekstvak 1">
          <a:extLst>
            <a:ext uri="{FF2B5EF4-FFF2-40B4-BE49-F238E27FC236}">
              <a16:creationId xmlns:a16="http://schemas.microsoft.com/office/drawing/2014/main" id="{5694BF6E-C891-4D8D-8A41-054F4F4E855A}"/>
            </a:ext>
          </a:extLst>
        </xdr:cNvPr>
        <xdr:cNvSpPr txBox="1"/>
      </xdr:nvSpPr>
      <xdr:spPr>
        <a:xfrm>
          <a:off x="6448425" y="5581650"/>
          <a:ext cx="236171" cy="2619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14" name="Tekstvak 1">
          <a:extLst>
            <a:ext uri="{FF2B5EF4-FFF2-40B4-BE49-F238E27FC236}">
              <a16:creationId xmlns:a16="http://schemas.microsoft.com/office/drawing/2014/main" id="{90E11172-FF9E-44BE-A78E-20C5EC92A473}"/>
            </a:ext>
          </a:extLst>
        </xdr:cNvPr>
        <xdr:cNvSpPr txBox="1"/>
      </xdr:nvSpPr>
      <xdr:spPr>
        <a:xfrm>
          <a:off x="6448425" y="5581650"/>
          <a:ext cx="236171" cy="2619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15" name="Tekstvak 1">
          <a:extLst>
            <a:ext uri="{FF2B5EF4-FFF2-40B4-BE49-F238E27FC236}">
              <a16:creationId xmlns:a16="http://schemas.microsoft.com/office/drawing/2014/main" id="{7E4C0D9E-DC1E-4FAA-BA43-277E1BDF4822}"/>
            </a:ext>
          </a:extLst>
        </xdr:cNvPr>
        <xdr:cNvSpPr txBox="1"/>
      </xdr:nvSpPr>
      <xdr:spPr>
        <a:xfrm>
          <a:off x="6448425" y="5581650"/>
          <a:ext cx="236171" cy="2619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29</xdr:col>
      <xdr:colOff>47624</xdr:colOff>
      <xdr:row>24</xdr:row>
      <xdr:rowOff>9525</xdr:rowOff>
    </xdr:from>
    <xdr:to>
      <xdr:col>42</xdr:col>
      <xdr:colOff>464924</xdr:colOff>
      <xdr:row>38</xdr:row>
      <xdr:rowOff>11850</xdr:rowOff>
    </xdr:to>
    <xdr:graphicFrame macro="">
      <xdr:nvGraphicFramePr>
        <xdr:cNvPr id="16" name="Grafiek 15">
          <a:extLst>
            <a:ext uri="{FF2B5EF4-FFF2-40B4-BE49-F238E27FC236}">
              <a16:creationId xmlns:a16="http://schemas.microsoft.com/office/drawing/2014/main" id="{E6B628BB-DAE8-4D5E-AA55-2D748184D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0.82977</cdr:x>
      <cdr:y>0.00656</cdr:y>
    </cdr:from>
    <cdr:to>
      <cdr:x>1</cdr:x>
      <cdr:y>0.18258</cdr:y>
    </cdr:to>
    <cdr:sp macro="" textlink="">
      <cdr:nvSpPr>
        <cdr:cNvPr id="2" name="Tekstvak 1"/>
        <cdr:cNvSpPr txBox="1"/>
      </cdr:nvSpPr>
      <cdr:spPr>
        <a:xfrm xmlns:a="http://schemas.openxmlformats.org/drawingml/2006/main">
          <a:off x="3501290" y="18638"/>
          <a:ext cx="718283" cy="5004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l-NL" sz="1100" b="1"/>
            <a:t>Y x € 1 mrd. </a:t>
          </a:r>
        </a:p>
      </cdr:txBody>
    </cdr:sp>
  </cdr:relSizeAnchor>
  <cdr:relSizeAnchor xmlns:cdr="http://schemas.openxmlformats.org/drawingml/2006/chartDrawing">
    <cdr:from>
      <cdr:x>0</cdr:x>
      <cdr:y>0.00397</cdr:y>
    </cdr:from>
    <cdr:to>
      <cdr:x>0.05779</cdr:x>
      <cdr:y>0.29891</cdr:y>
    </cdr:to>
    <cdr:sp macro="" textlink="">
      <cdr:nvSpPr>
        <cdr:cNvPr id="3" name="Tekstvak 2"/>
        <cdr:cNvSpPr txBox="1"/>
      </cdr:nvSpPr>
      <cdr:spPr>
        <a:xfrm xmlns:a="http://schemas.openxmlformats.org/drawingml/2006/main">
          <a:off x="0" y="14288"/>
          <a:ext cx="261463" cy="1060502"/>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nl-NL" sz="1100" b="1"/>
            <a:t>EV x € 1 mrd.</a:t>
          </a:r>
        </a:p>
      </cdr:txBody>
    </cdr:sp>
  </cdr:relSizeAnchor>
</c:userShapes>
</file>

<file path=xl/drawings/drawing4.xml><?xml version="1.0" encoding="utf-8"?>
<c:userShapes xmlns:c="http://schemas.openxmlformats.org/drawingml/2006/chart">
  <cdr:relSizeAnchor xmlns:cdr="http://schemas.openxmlformats.org/drawingml/2006/chartDrawing">
    <cdr:from>
      <cdr:x>0.82452</cdr:x>
      <cdr:y>0.00974</cdr:y>
    </cdr:from>
    <cdr:to>
      <cdr:x>1</cdr:x>
      <cdr:y>0.11688</cdr:y>
    </cdr:to>
    <cdr:sp macro="" textlink="">
      <cdr:nvSpPr>
        <cdr:cNvPr id="2" name="Tekstvak 1"/>
        <cdr:cNvSpPr txBox="1"/>
      </cdr:nvSpPr>
      <cdr:spPr>
        <a:xfrm xmlns:a="http://schemas.openxmlformats.org/drawingml/2006/main">
          <a:off x="3871802" y="26719"/>
          <a:ext cx="824023" cy="2939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NL" sz="1100" b="1"/>
            <a:t>Y x € 1 mrd. </a:t>
          </a:r>
        </a:p>
      </cdr:txBody>
    </cdr:sp>
  </cdr:relSizeAnchor>
  <cdr:relSizeAnchor xmlns:cdr="http://schemas.openxmlformats.org/drawingml/2006/chartDrawing">
    <cdr:from>
      <cdr:x>0.00613</cdr:x>
      <cdr:y>0.02857</cdr:y>
    </cdr:from>
    <cdr:to>
      <cdr:x>0.06392</cdr:x>
      <cdr:y>0.32404</cdr:y>
    </cdr:to>
    <cdr:sp macro="" textlink="">
      <cdr:nvSpPr>
        <cdr:cNvPr id="4" name="Tekstvak 1"/>
        <cdr:cNvSpPr txBox="1"/>
      </cdr:nvSpPr>
      <cdr:spPr>
        <a:xfrm xmlns:a="http://schemas.openxmlformats.org/drawingml/2006/main">
          <a:off x="31646" y="78100"/>
          <a:ext cx="298344" cy="80772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NL" sz="1100" b="1"/>
            <a:t>Rente in %</a:t>
          </a:r>
        </a:p>
      </cdr:txBody>
    </cdr:sp>
  </cdr:relSizeAnchor>
</c:userShapes>
</file>

<file path=xl/drawings/drawing5.xml><?xml version="1.0" encoding="utf-8"?>
<c:userShapes xmlns:c="http://schemas.openxmlformats.org/drawingml/2006/chart">
  <cdr:relSizeAnchor xmlns:cdr="http://schemas.openxmlformats.org/drawingml/2006/chartDrawing">
    <cdr:from>
      <cdr:x>0.81818</cdr:x>
      <cdr:y>0.00615</cdr:y>
    </cdr:from>
    <cdr:to>
      <cdr:x>1</cdr:x>
      <cdr:y>0.15385</cdr:y>
    </cdr:to>
    <cdr:sp macro="" textlink="">
      <cdr:nvSpPr>
        <cdr:cNvPr id="2" name="Tekstvak 1"/>
        <cdr:cNvSpPr txBox="1"/>
      </cdr:nvSpPr>
      <cdr:spPr>
        <a:xfrm xmlns:a="http://schemas.openxmlformats.org/drawingml/2006/main">
          <a:off x="3686176" y="19050"/>
          <a:ext cx="819150" cy="457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NL" sz="1100" b="1"/>
            <a:t>Y x € 1 mrd. </a:t>
          </a:r>
        </a:p>
      </cdr:txBody>
    </cdr:sp>
  </cdr:relSizeAnchor>
  <cdr:relSizeAnchor xmlns:cdr="http://schemas.openxmlformats.org/drawingml/2006/chartDrawing">
    <cdr:from>
      <cdr:x>0.01544</cdr:x>
      <cdr:y>0</cdr:y>
    </cdr:from>
    <cdr:to>
      <cdr:x>0.07323</cdr:x>
      <cdr:y>0.32979</cdr:y>
    </cdr:to>
    <cdr:sp macro="" textlink="">
      <cdr:nvSpPr>
        <cdr:cNvPr id="4" name="Tekstvak 1"/>
        <cdr:cNvSpPr txBox="1"/>
      </cdr:nvSpPr>
      <cdr:spPr>
        <a:xfrm xmlns:a="http://schemas.openxmlformats.org/drawingml/2006/main">
          <a:off x="79563" y="0"/>
          <a:ext cx="297793" cy="88582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NL" sz="1100" b="1"/>
            <a:t>Inflatie in %</a:t>
          </a:r>
        </a:p>
      </cdr:txBody>
    </cdr:sp>
  </cdr:relSizeAnchor>
</c:userShapes>
</file>

<file path=xl/drawings/drawing6.xml><?xml version="1.0" encoding="utf-8"?>
<xdr:wsDr xmlns:xdr="http://schemas.openxmlformats.org/drawingml/2006/spreadsheetDrawing" xmlns:a="http://schemas.openxmlformats.org/drawingml/2006/main">
  <xdr:twoCellAnchor>
    <xdr:from>
      <xdr:col>29</xdr:col>
      <xdr:colOff>9525</xdr:colOff>
      <xdr:row>0</xdr:row>
      <xdr:rowOff>28575</xdr:rowOff>
    </xdr:from>
    <xdr:to>
      <xdr:col>42</xdr:col>
      <xdr:colOff>160125</xdr:colOff>
      <xdr:row>12</xdr:row>
      <xdr:rowOff>78525</xdr:rowOff>
    </xdr:to>
    <xdr:graphicFrame macro="">
      <xdr:nvGraphicFramePr>
        <xdr:cNvPr id="2" name="Grafiek 1">
          <a:extLst>
            <a:ext uri="{FF2B5EF4-FFF2-40B4-BE49-F238E27FC236}">
              <a16:creationId xmlns:a16="http://schemas.microsoft.com/office/drawing/2014/main" id="{DD10CB6C-5196-4094-AEF9-FAEBE50841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9525</xdr:colOff>
      <xdr:row>12</xdr:row>
      <xdr:rowOff>76201</xdr:rowOff>
    </xdr:from>
    <xdr:to>
      <xdr:col>42</xdr:col>
      <xdr:colOff>160125</xdr:colOff>
      <xdr:row>24</xdr:row>
      <xdr:rowOff>30901</xdr:rowOff>
    </xdr:to>
    <xdr:graphicFrame macro="">
      <xdr:nvGraphicFramePr>
        <xdr:cNvPr id="3" name="Grafiek 2">
          <a:extLst>
            <a:ext uri="{FF2B5EF4-FFF2-40B4-BE49-F238E27FC236}">
              <a16:creationId xmlns:a16="http://schemas.microsoft.com/office/drawing/2014/main" id="{283069DA-C2E3-48EA-BC5B-FA6C58BC5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76200</xdr:colOff>
      <xdr:row>24</xdr:row>
      <xdr:rowOff>76200</xdr:rowOff>
    </xdr:from>
    <xdr:to>
      <xdr:col>29</xdr:col>
      <xdr:colOff>312371</xdr:colOff>
      <xdr:row>25</xdr:row>
      <xdr:rowOff>80938</xdr:rowOff>
    </xdr:to>
    <xdr:sp macro="" textlink="">
      <xdr:nvSpPr>
        <xdr:cNvPr id="4" name="Tekstvak 1">
          <a:extLst>
            <a:ext uri="{FF2B5EF4-FFF2-40B4-BE49-F238E27FC236}">
              <a16:creationId xmlns:a16="http://schemas.microsoft.com/office/drawing/2014/main" id="{F6C2A4B4-CACA-4600-98FA-B2A196DAB0D3}"/>
            </a:ext>
          </a:extLst>
        </xdr:cNvPr>
        <xdr:cNvSpPr txBox="1"/>
      </xdr:nvSpPr>
      <xdr:spPr>
        <a:xfrm>
          <a:off x="11801475" y="5543550"/>
          <a:ext cx="236171" cy="24286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29</xdr:col>
      <xdr:colOff>76200</xdr:colOff>
      <xdr:row>24</xdr:row>
      <xdr:rowOff>76200</xdr:rowOff>
    </xdr:from>
    <xdr:to>
      <xdr:col>29</xdr:col>
      <xdr:colOff>312371</xdr:colOff>
      <xdr:row>25</xdr:row>
      <xdr:rowOff>80938</xdr:rowOff>
    </xdr:to>
    <xdr:sp macro="" textlink="">
      <xdr:nvSpPr>
        <xdr:cNvPr id="5" name="Tekstvak 1">
          <a:extLst>
            <a:ext uri="{FF2B5EF4-FFF2-40B4-BE49-F238E27FC236}">
              <a16:creationId xmlns:a16="http://schemas.microsoft.com/office/drawing/2014/main" id="{46153947-8A80-47D9-9CB9-3112D166CED7}"/>
            </a:ext>
          </a:extLst>
        </xdr:cNvPr>
        <xdr:cNvSpPr txBox="1"/>
      </xdr:nvSpPr>
      <xdr:spPr>
        <a:xfrm>
          <a:off x="11801475" y="5543550"/>
          <a:ext cx="236171" cy="24286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6" name="Tekstvak 1">
          <a:extLst>
            <a:ext uri="{FF2B5EF4-FFF2-40B4-BE49-F238E27FC236}">
              <a16:creationId xmlns:a16="http://schemas.microsoft.com/office/drawing/2014/main" id="{3DEE4A60-8CD1-4EEC-9091-1177BB744D7C}"/>
            </a:ext>
          </a:extLst>
        </xdr:cNvPr>
        <xdr:cNvSpPr txBox="1"/>
      </xdr:nvSpPr>
      <xdr:spPr>
        <a:xfrm>
          <a:off x="6657975" y="7896225"/>
          <a:ext cx="236171" cy="1952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7" name="Tekstvak 1">
          <a:extLst>
            <a:ext uri="{FF2B5EF4-FFF2-40B4-BE49-F238E27FC236}">
              <a16:creationId xmlns:a16="http://schemas.microsoft.com/office/drawing/2014/main" id="{44D5498B-6085-4B14-ADDA-2AEC72C0A6C8}"/>
            </a:ext>
          </a:extLst>
        </xdr:cNvPr>
        <xdr:cNvSpPr txBox="1"/>
      </xdr:nvSpPr>
      <xdr:spPr>
        <a:xfrm>
          <a:off x="6657975" y="7896225"/>
          <a:ext cx="236171" cy="1952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8" name="Tekstvak 1">
          <a:extLst>
            <a:ext uri="{FF2B5EF4-FFF2-40B4-BE49-F238E27FC236}">
              <a16:creationId xmlns:a16="http://schemas.microsoft.com/office/drawing/2014/main" id="{DC48FD2C-F9B6-4061-A714-34B0290AA6CE}"/>
            </a:ext>
          </a:extLst>
        </xdr:cNvPr>
        <xdr:cNvSpPr txBox="1"/>
      </xdr:nvSpPr>
      <xdr:spPr>
        <a:xfrm>
          <a:off x="6657975" y="7896225"/>
          <a:ext cx="236171" cy="1952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9" name="Tekstvak 1">
          <a:extLst>
            <a:ext uri="{FF2B5EF4-FFF2-40B4-BE49-F238E27FC236}">
              <a16:creationId xmlns:a16="http://schemas.microsoft.com/office/drawing/2014/main" id="{E3D345F6-68BD-43AD-9525-2C52600AD34A}"/>
            </a:ext>
          </a:extLst>
        </xdr:cNvPr>
        <xdr:cNvSpPr txBox="1"/>
      </xdr:nvSpPr>
      <xdr:spPr>
        <a:xfrm>
          <a:off x="6657975" y="7896225"/>
          <a:ext cx="236171" cy="1952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10" name="Tekstvak 1">
          <a:extLst>
            <a:ext uri="{FF2B5EF4-FFF2-40B4-BE49-F238E27FC236}">
              <a16:creationId xmlns:a16="http://schemas.microsoft.com/office/drawing/2014/main" id="{D9D6CD91-7BAF-40A7-AC41-012DFF991063}"/>
            </a:ext>
          </a:extLst>
        </xdr:cNvPr>
        <xdr:cNvSpPr txBox="1"/>
      </xdr:nvSpPr>
      <xdr:spPr>
        <a:xfrm>
          <a:off x="6657975" y="7896225"/>
          <a:ext cx="236171" cy="1952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11" name="Tekstvak 1">
          <a:extLst>
            <a:ext uri="{FF2B5EF4-FFF2-40B4-BE49-F238E27FC236}">
              <a16:creationId xmlns:a16="http://schemas.microsoft.com/office/drawing/2014/main" id="{86B27CB9-E377-4934-AC8A-BA1E957C40E6}"/>
            </a:ext>
          </a:extLst>
        </xdr:cNvPr>
        <xdr:cNvSpPr txBox="1"/>
      </xdr:nvSpPr>
      <xdr:spPr>
        <a:xfrm>
          <a:off x="6657975" y="7896225"/>
          <a:ext cx="236171" cy="1952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12" name="Tekstvak 1">
          <a:extLst>
            <a:ext uri="{FF2B5EF4-FFF2-40B4-BE49-F238E27FC236}">
              <a16:creationId xmlns:a16="http://schemas.microsoft.com/office/drawing/2014/main" id="{64A27A90-D289-416C-9EF3-560D6C9FD0D8}"/>
            </a:ext>
          </a:extLst>
        </xdr:cNvPr>
        <xdr:cNvSpPr txBox="1"/>
      </xdr:nvSpPr>
      <xdr:spPr>
        <a:xfrm>
          <a:off x="6657975" y="7896225"/>
          <a:ext cx="236171" cy="1952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19</xdr:col>
      <xdr:colOff>76200</xdr:colOff>
      <xdr:row>36</xdr:row>
      <xdr:rowOff>76200</xdr:rowOff>
    </xdr:from>
    <xdr:to>
      <xdr:col>19</xdr:col>
      <xdr:colOff>312371</xdr:colOff>
      <xdr:row>37</xdr:row>
      <xdr:rowOff>80938</xdr:rowOff>
    </xdr:to>
    <xdr:sp macro="" textlink="">
      <xdr:nvSpPr>
        <xdr:cNvPr id="13" name="Tekstvak 1">
          <a:extLst>
            <a:ext uri="{FF2B5EF4-FFF2-40B4-BE49-F238E27FC236}">
              <a16:creationId xmlns:a16="http://schemas.microsoft.com/office/drawing/2014/main" id="{90920235-13E6-4337-BDC1-88C2947F3654}"/>
            </a:ext>
          </a:extLst>
        </xdr:cNvPr>
        <xdr:cNvSpPr txBox="1"/>
      </xdr:nvSpPr>
      <xdr:spPr>
        <a:xfrm>
          <a:off x="6657975" y="7896225"/>
          <a:ext cx="236171" cy="1952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29</xdr:col>
      <xdr:colOff>9524</xdr:colOff>
      <xdr:row>24</xdr:row>
      <xdr:rowOff>19050</xdr:rowOff>
    </xdr:from>
    <xdr:to>
      <xdr:col>42</xdr:col>
      <xdr:colOff>160124</xdr:colOff>
      <xdr:row>38</xdr:row>
      <xdr:rowOff>21375</xdr:rowOff>
    </xdr:to>
    <xdr:graphicFrame macro="">
      <xdr:nvGraphicFramePr>
        <xdr:cNvPr id="14" name="Grafiek 13">
          <a:extLst>
            <a:ext uri="{FF2B5EF4-FFF2-40B4-BE49-F238E27FC236}">
              <a16:creationId xmlns:a16="http://schemas.microsoft.com/office/drawing/2014/main" id="{9119FE24-DB52-4226-97CA-85E68E9EA2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76200</xdr:colOff>
      <xdr:row>24</xdr:row>
      <xdr:rowOff>76200</xdr:rowOff>
    </xdr:from>
    <xdr:to>
      <xdr:col>29</xdr:col>
      <xdr:colOff>312371</xdr:colOff>
      <xdr:row>25</xdr:row>
      <xdr:rowOff>80938</xdr:rowOff>
    </xdr:to>
    <xdr:sp macro="" textlink="">
      <xdr:nvSpPr>
        <xdr:cNvPr id="17" name="Tekstvak 1">
          <a:extLst>
            <a:ext uri="{FF2B5EF4-FFF2-40B4-BE49-F238E27FC236}">
              <a16:creationId xmlns:a16="http://schemas.microsoft.com/office/drawing/2014/main" id="{3BF7F3F7-C8E3-4D21-9952-D1DBDAFAFF28}"/>
            </a:ext>
          </a:extLst>
        </xdr:cNvPr>
        <xdr:cNvSpPr txBox="1"/>
      </xdr:nvSpPr>
      <xdr:spPr>
        <a:xfrm>
          <a:off x="11801475" y="5543550"/>
          <a:ext cx="236171" cy="24286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twoCellAnchor>
    <xdr:from>
      <xdr:col>29</xdr:col>
      <xdr:colOff>76200</xdr:colOff>
      <xdr:row>24</xdr:row>
      <xdr:rowOff>76200</xdr:rowOff>
    </xdr:from>
    <xdr:to>
      <xdr:col>29</xdr:col>
      <xdr:colOff>312371</xdr:colOff>
      <xdr:row>25</xdr:row>
      <xdr:rowOff>80938</xdr:rowOff>
    </xdr:to>
    <xdr:sp macro="" textlink="">
      <xdr:nvSpPr>
        <xdr:cNvPr id="18" name="Tekstvak 1">
          <a:extLst>
            <a:ext uri="{FF2B5EF4-FFF2-40B4-BE49-F238E27FC236}">
              <a16:creationId xmlns:a16="http://schemas.microsoft.com/office/drawing/2014/main" id="{85070A08-CA1C-468B-A914-3D0453D53623}"/>
            </a:ext>
          </a:extLst>
        </xdr:cNvPr>
        <xdr:cNvSpPr txBox="1"/>
      </xdr:nvSpPr>
      <xdr:spPr>
        <a:xfrm>
          <a:off x="11801475" y="5543550"/>
          <a:ext cx="236171" cy="24286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nl-NL" sz="1100" b="1"/>
        </a:p>
      </xdr:txBody>
    </xdr:sp>
    <xdr:clientData/>
  </xdr:twoCellAnchor>
</xdr:wsDr>
</file>

<file path=xl/drawings/drawing7.xml><?xml version="1.0" encoding="utf-8"?>
<c:userShapes xmlns:c="http://schemas.openxmlformats.org/drawingml/2006/chart">
  <cdr:relSizeAnchor xmlns:cdr="http://schemas.openxmlformats.org/drawingml/2006/chartDrawing">
    <cdr:from>
      <cdr:x>0.82977</cdr:x>
      <cdr:y>0.00656</cdr:y>
    </cdr:from>
    <cdr:to>
      <cdr:x>1</cdr:x>
      <cdr:y>0.18258</cdr:y>
    </cdr:to>
    <cdr:sp macro="" textlink="">
      <cdr:nvSpPr>
        <cdr:cNvPr id="2" name="Tekstvak 1"/>
        <cdr:cNvSpPr txBox="1"/>
      </cdr:nvSpPr>
      <cdr:spPr>
        <a:xfrm xmlns:a="http://schemas.openxmlformats.org/drawingml/2006/main">
          <a:off x="3501290" y="18638"/>
          <a:ext cx="718283" cy="5004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l-NL" sz="1100" b="1"/>
            <a:t>Y x € 1 mrd. </a:t>
          </a:r>
        </a:p>
      </cdr:txBody>
    </cdr:sp>
  </cdr:relSizeAnchor>
  <cdr:relSizeAnchor xmlns:cdr="http://schemas.openxmlformats.org/drawingml/2006/chartDrawing">
    <cdr:from>
      <cdr:x>0</cdr:x>
      <cdr:y>0.00397</cdr:y>
    </cdr:from>
    <cdr:to>
      <cdr:x>0.05779</cdr:x>
      <cdr:y>0.29891</cdr:y>
    </cdr:to>
    <cdr:sp macro="" textlink="">
      <cdr:nvSpPr>
        <cdr:cNvPr id="3" name="Tekstvak 2"/>
        <cdr:cNvSpPr txBox="1"/>
      </cdr:nvSpPr>
      <cdr:spPr>
        <a:xfrm xmlns:a="http://schemas.openxmlformats.org/drawingml/2006/main">
          <a:off x="0" y="14288"/>
          <a:ext cx="261463" cy="1060502"/>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nl-NL" sz="1100" b="1"/>
            <a:t>EV x € 1 mrd.</a:t>
          </a:r>
        </a:p>
      </cdr:txBody>
    </cdr:sp>
  </cdr:relSizeAnchor>
</c:userShapes>
</file>

<file path=xl/drawings/drawing8.xml><?xml version="1.0" encoding="utf-8"?>
<c:userShapes xmlns:c="http://schemas.openxmlformats.org/drawingml/2006/chart">
  <cdr:relSizeAnchor xmlns:cdr="http://schemas.openxmlformats.org/drawingml/2006/chartDrawing">
    <cdr:from>
      <cdr:x>0.82452</cdr:x>
      <cdr:y>0.00974</cdr:y>
    </cdr:from>
    <cdr:to>
      <cdr:x>1</cdr:x>
      <cdr:y>0.11688</cdr:y>
    </cdr:to>
    <cdr:sp macro="" textlink="">
      <cdr:nvSpPr>
        <cdr:cNvPr id="2" name="Tekstvak 1"/>
        <cdr:cNvSpPr txBox="1"/>
      </cdr:nvSpPr>
      <cdr:spPr>
        <a:xfrm xmlns:a="http://schemas.openxmlformats.org/drawingml/2006/main">
          <a:off x="3871802" y="26719"/>
          <a:ext cx="824023" cy="2939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NL" sz="1100" b="1"/>
            <a:t>Y x € 1 mrd. </a:t>
          </a:r>
        </a:p>
      </cdr:txBody>
    </cdr:sp>
  </cdr:relSizeAnchor>
  <cdr:relSizeAnchor xmlns:cdr="http://schemas.openxmlformats.org/drawingml/2006/chartDrawing">
    <cdr:from>
      <cdr:x>0.00613</cdr:x>
      <cdr:y>0.02857</cdr:y>
    </cdr:from>
    <cdr:to>
      <cdr:x>0.06392</cdr:x>
      <cdr:y>0.31707</cdr:y>
    </cdr:to>
    <cdr:sp macro="" textlink="">
      <cdr:nvSpPr>
        <cdr:cNvPr id="4" name="Tekstvak 1"/>
        <cdr:cNvSpPr txBox="1"/>
      </cdr:nvSpPr>
      <cdr:spPr>
        <a:xfrm xmlns:a="http://schemas.openxmlformats.org/drawingml/2006/main">
          <a:off x="31646" y="78100"/>
          <a:ext cx="298344" cy="78867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NL" sz="1100" b="1"/>
            <a:t>Rente in %</a:t>
          </a:r>
        </a:p>
      </cdr:txBody>
    </cdr:sp>
  </cdr:relSizeAnchor>
</c:userShapes>
</file>

<file path=xl/drawings/drawing9.xml><?xml version="1.0" encoding="utf-8"?>
<c:userShapes xmlns:c="http://schemas.openxmlformats.org/drawingml/2006/chart">
  <cdr:relSizeAnchor xmlns:cdr="http://schemas.openxmlformats.org/drawingml/2006/chartDrawing">
    <cdr:from>
      <cdr:x>0.81818</cdr:x>
      <cdr:y>0.00615</cdr:y>
    </cdr:from>
    <cdr:to>
      <cdr:x>1</cdr:x>
      <cdr:y>0.15385</cdr:y>
    </cdr:to>
    <cdr:sp macro="" textlink="">
      <cdr:nvSpPr>
        <cdr:cNvPr id="2" name="Tekstvak 1"/>
        <cdr:cNvSpPr txBox="1"/>
      </cdr:nvSpPr>
      <cdr:spPr>
        <a:xfrm xmlns:a="http://schemas.openxmlformats.org/drawingml/2006/main">
          <a:off x="3686176" y="19050"/>
          <a:ext cx="819150" cy="457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NL" sz="1100" b="1"/>
            <a:t>Y x € 1 mrd. </a:t>
          </a:r>
        </a:p>
      </cdr:txBody>
    </cdr:sp>
  </cdr:relSizeAnchor>
  <cdr:relSizeAnchor xmlns:cdr="http://schemas.openxmlformats.org/drawingml/2006/chartDrawing">
    <cdr:from>
      <cdr:x>0.01544</cdr:x>
      <cdr:y>0</cdr:y>
    </cdr:from>
    <cdr:to>
      <cdr:x>0.07323</cdr:x>
      <cdr:y>0.3227</cdr:y>
    </cdr:to>
    <cdr:sp macro="" textlink="">
      <cdr:nvSpPr>
        <cdr:cNvPr id="4" name="Tekstvak 1"/>
        <cdr:cNvSpPr txBox="1"/>
      </cdr:nvSpPr>
      <cdr:spPr>
        <a:xfrm xmlns:a="http://schemas.openxmlformats.org/drawingml/2006/main">
          <a:off x="79563" y="0"/>
          <a:ext cx="297793" cy="86677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NL" sz="1100" b="1"/>
            <a:t>Inflatie in %</a:t>
          </a:r>
        </a:p>
      </cdr:txBody>
    </cdr:sp>
  </cdr:relSizeAnchor>
</c:userShape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jdjong.n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jdjong.n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bin"/><Relationship Id="rId1" Type="http://schemas.openxmlformats.org/officeDocument/2006/relationships/hyperlink" Target="http://www.jdjong.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0:B26"/>
  <sheetViews>
    <sheetView showRowColHeaders="0" tabSelected="1" workbookViewId="0"/>
  </sheetViews>
  <sheetFormatPr defaultRowHeight="15" x14ac:dyDescent="0.25"/>
  <cols>
    <col min="1" max="1" width="6.85546875" style="19" customWidth="1"/>
    <col min="2" max="16384" width="9.140625" style="19"/>
  </cols>
  <sheetData>
    <row r="10" spans="2:2" ht="18.75" x14ac:dyDescent="0.3">
      <c r="B10" s="44" t="s">
        <v>49</v>
      </c>
    </row>
    <row r="11" spans="2:2" ht="18.75" x14ac:dyDescent="0.3">
      <c r="B11" s="44" t="s">
        <v>38</v>
      </c>
    </row>
    <row r="12" spans="2:2" ht="18.75" x14ac:dyDescent="0.3">
      <c r="B12" s="44" t="s">
        <v>40</v>
      </c>
    </row>
    <row r="13" spans="2:2" ht="18.75" x14ac:dyDescent="0.3">
      <c r="B13" s="44" t="s">
        <v>48</v>
      </c>
    </row>
    <row r="14" spans="2:2" ht="18.75" x14ac:dyDescent="0.3">
      <c r="B14" s="44" t="s">
        <v>47</v>
      </c>
    </row>
    <row r="15" spans="2:2" ht="18.75" x14ac:dyDescent="0.3">
      <c r="B15" s="44" t="s">
        <v>50</v>
      </c>
    </row>
    <row r="16" spans="2:2" ht="18.75" x14ac:dyDescent="0.3">
      <c r="B16" s="44" t="s">
        <v>39</v>
      </c>
    </row>
    <row r="26" spans="2:2" x14ac:dyDescent="0.25">
      <c r="B26" s="18" t="s">
        <v>1</v>
      </c>
    </row>
  </sheetData>
  <sheetProtection algorithmName="SHA-512" hashValue="Hd41OL09L4RYHkjc0U65P6+Zi7Mnsc2Ng97mi7BMVHxOXP2f6GFXnVYkmttCAwAKwIDj4S6uqQgn5kDjpelzYQ==" saltValue="ARaf3rGpeifqAt8mTqQc5Q==" spinCount="100000" sheet="1" objects="1" scenarios="1"/>
  <hyperlinks>
    <hyperlink ref="B26"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38"/>
  <sheetViews>
    <sheetView workbookViewId="0">
      <selection activeCell="Y29" sqref="Y29"/>
    </sheetView>
  </sheetViews>
  <sheetFormatPr defaultRowHeight="15" x14ac:dyDescent="0.25"/>
  <cols>
    <col min="1" max="1" width="1.7109375" style="6" customWidth="1"/>
    <col min="2" max="2" width="11.85546875" style="6" customWidth="1"/>
    <col min="3" max="3" width="2.5703125" style="6" bestFit="1" customWidth="1"/>
    <col min="4" max="4" width="7.140625" style="6" customWidth="1"/>
    <col min="5" max="5" width="6.7109375" style="6" customWidth="1"/>
    <col min="6" max="6" width="2.7109375" style="6" customWidth="1"/>
    <col min="7" max="7" width="5.5703125" style="6" customWidth="1"/>
    <col min="8" max="8" width="9.140625" style="6"/>
    <col min="9" max="9" width="9.7109375" style="6" customWidth="1"/>
    <col min="10" max="11" width="4.28515625" style="6" customWidth="1"/>
    <col min="12" max="12" width="4.140625" style="6" customWidth="1"/>
    <col min="13" max="13" width="3.85546875" style="6" customWidth="1"/>
    <col min="14" max="14" width="2.28515625" style="6" customWidth="1"/>
    <col min="15" max="15" width="11.7109375" style="6" customWidth="1"/>
    <col min="16" max="16" width="2.5703125" style="6" customWidth="1"/>
    <col min="17" max="17" width="5.7109375" style="6" customWidth="1"/>
    <col min="18" max="18" width="2.140625" style="6" customWidth="1"/>
    <col min="19" max="19" width="2.28515625" style="6" customWidth="1"/>
    <col min="20" max="20" width="9.140625" style="6"/>
    <col min="21" max="21" width="7.140625" style="6" customWidth="1"/>
    <col min="22" max="22" width="9.7109375" style="6" customWidth="1"/>
    <col min="23" max="23" width="6.85546875" style="6" customWidth="1"/>
    <col min="24" max="24" width="6.28515625" style="6" customWidth="1"/>
    <col min="25" max="25" width="9.5703125" style="6" customWidth="1"/>
    <col min="26" max="26" width="18.85546875" style="6" customWidth="1"/>
    <col min="27" max="28" width="7" style="6" customWidth="1"/>
    <col min="29" max="29" width="5.85546875" style="6" customWidth="1"/>
    <col min="30" max="30" width="6.7109375" style="6" customWidth="1"/>
    <col min="31" max="31" width="6.140625" style="6" customWidth="1"/>
    <col min="32" max="32" width="6" style="6" customWidth="1"/>
    <col min="33" max="34" width="4.42578125" style="6" customWidth="1"/>
    <col min="35" max="35" width="4" style="6" customWidth="1"/>
    <col min="36" max="36" width="6.42578125" style="6" customWidth="1"/>
    <col min="37" max="37" width="6.5703125" style="6" customWidth="1"/>
    <col min="38" max="39" width="6.85546875" style="6" customWidth="1"/>
    <col min="40" max="40" width="4.7109375" style="6" customWidth="1"/>
    <col min="41" max="41" width="5.140625" style="6" customWidth="1"/>
    <col min="42" max="42" width="4.28515625" style="6" customWidth="1"/>
    <col min="43" max="43" width="8.42578125" style="6" customWidth="1"/>
    <col min="44" max="16384" width="9.140625" style="6"/>
  </cols>
  <sheetData>
    <row r="1" spans="2:42" ht="26.25" x14ac:dyDescent="0.4">
      <c r="B1" s="41" t="s">
        <v>20</v>
      </c>
      <c r="C1" s="5"/>
      <c r="D1" s="5"/>
    </row>
    <row r="2" spans="2:42" ht="15.75" x14ac:dyDescent="0.25">
      <c r="B2" s="7" t="s">
        <v>21</v>
      </c>
      <c r="C2" s="3"/>
      <c r="D2" s="3"/>
      <c r="E2" s="8"/>
      <c r="F2" s="8"/>
      <c r="G2" s="8"/>
      <c r="H2" s="8"/>
      <c r="I2" s="8"/>
      <c r="J2" s="8"/>
      <c r="K2" s="8"/>
      <c r="L2" s="8"/>
      <c r="M2" s="8"/>
      <c r="N2" s="8"/>
      <c r="O2" s="8"/>
      <c r="P2" s="8"/>
      <c r="Q2" s="8"/>
      <c r="R2" s="8"/>
      <c r="S2" s="8"/>
      <c r="T2" s="8"/>
      <c r="U2" s="8"/>
    </row>
    <row r="3" spans="2:42" ht="15.75" x14ac:dyDescent="0.25">
      <c r="B3" s="7" t="s">
        <v>28</v>
      </c>
      <c r="C3" s="3"/>
      <c r="D3" s="3"/>
      <c r="E3" s="8"/>
      <c r="F3" s="8"/>
      <c r="G3" s="8"/>
      <c r="H3" s="8"/>
      <c r="I3" s="8"/>
      <c r="J3" s="8"/>
      <c r="K3" s="8"/>
      <c r="L3" s="8"/>
      <c r="M3" s="8"/>
      <c r="N3" s="8"/>
      <c r="O3" s="8"/>
      <c r="P3" s="8"/>
      <c r="Q3" s="8"/>
      <c r="R3" s="8"/>
      <c r="S3" s="8"/>
      <c r="T3" s="8"/>
      <c r="U3" s="8"/>
    </row>
    <row r="4" spans="2:42" ht="15.75" x14ac:dyDescent="0.25">
      <c r="B4" s="7" t="s">
        <v>22</v>
      </c>
      <c r="C4" s="3"/>
      <c r="D4" s="3"/>
      <c r="E4" s="8"/>
      <c r="F4" s="8"/>
      <c r="G4" s="8"/>
      <c r="H4" s="8"/>
      <c r="I4" s="8"/>
      <c r="J4" s="8"/>
      <c r="K4" s="8"/>
      <c r="L4" s="8"/>
      <c r="M4" s="8"/>
      <c r="N4" s="8"/>
      <c r="O4" s="8"/>
      <c r="P4" s="8"/>
      <c r="Q4" s="8"/>
      <c r="R4" s="8"/>
      <c r="S4" s="8"/>
      <c r="T4" s="8"/>
      <c r="U4" s="8"/>
    </row>
    <row r="5" spans="2:42" ht="15.75" x14ac:dyDescent="0.25">
      <c r="B5" s="7" t="s">
        <v>23</v>
      </c>
      <c r="C5" s="3"/>
      <c r="D5" s="3"/>
      <c r="E5" s="8"/>
      <c r="F5" s="8"/>
      <c r="G5" s="8"/>
      <c r="H5" s="8"/>
      <c r="I5" s="8"/>
      <c r="J5" s="8"/>
      <c r="K5" s="8"/>
      <c r="L5" s="8"/>
      <c r="M5" s="8"/>
      <c r="N5" s="8"/>
      <c r="O5" s="8"/>
      <c r="P5" s="8"/>
      <c r="Q5" s="8"/>
      <c r="R5" s="8"/>
      <c r="S5" s="8"/>
      <c r="T5" s="8"/>
      <c r="U5" s="8"/>
    </row>
    <row r="6" spans="2:42" ht="15.75" x14ac:dyDescent="0.25">
      <c r="B6" s="7"/>
      <c r="C6" s="3"/>
      <c r="D6" s="3"/>
      <c r="E6" s="8"/>
      <c r="F6" s="8"/>
      <c r="G6" s="8"/>
      <c r="H6" s="8"/>
      <c r="I6" s="8"/>
      <c r="J6" s="8"/>
      <c r="K6" s="8"/>
      <c r="L6" s="8"/>
      <c r="M6" s="8"/>
      <c r="N6" s="8"/>
      <c r="O6" s="8"/>
      <c r="P6" s="8"/>
      <c r="Q6" s="8"/>
      <c r="R6" s="8"/>
      <c r="S6" s="8"/>
      <c r="T6" s="8"/>
      <c r="U6" s="8"/>
    </row>
    <row r="7" spans="2:42" ht="15.75" x14ac:dyDescent="0.25">
      <c r="B7" s="25" t="s">
        <v>41</v>
      </c>
      <c r="C7" s="7"/>
      <c r="D7" s="7"/>
      <c r="E7" s="7"/>
      <c r="F7" s="7"/>
      <c r="G7" s="7"/>
      <c r="H7" s="7"/>
      <c r="I7" s="7"/>
      <c r="J7" s="7"/>
      <c r="K7" s="7"/>
      <c r="L7" s="7"/>
      <c r="M7" s="7"/>
      <c r="N7" s="7"/>
      <c r="O7" s="7"/>
      <c r="P7" s="7"/>
      <c r="Q7" s="7"/>
      <c r="R7" s="7"/>
      <c r="S7" s="7"/>
      <c r="T7" s="7"/>
      <c r="U7" s="7"/>
      <c r="V7" s="7"/>
      <c r="W7" s="7"/>
      <c r="X7" s="7"/>
      <c r="Y7" s="24"/>
      <c r="Z7" s="24"/>
      <c r="AA7" s="24"/>
      <c r="AB7" s="24"/>
      <c r="AC7" s="24"/>
      <c r="AD7" s="24"/>
    </row>
    <row r="8" spans="2:42" ht="18.75" x14ac:dyDescent="0.3">
      <c r="B8" s="34" t="s">
        <v>33</v>
      </c>
      <c r="C8" s="21"/>
      <c r="D8" s="22"/>
      <c r="E8" s="21"/>
      <c r="F8" s="21"/>
      <c r="G8" s="22"/>
      <c r="H8" s="9"/>
      <c r="I8" s="2"/>
      <c r="J8" s="2"/>
      <c r="K8" s="10"/>
      <c r="L8" s="2"/>
      <c r="M8" s="2"/>
      <c r="N8" s="2"/>
      <c r="O8" s="4"/>
      <c r="P8" s="2"/>
      <c r="Q8" s="2"/>
      <c r="R8" s="40" t="str">
        <f>IF(AND(AA8&lt;=120,AA8&gt;10),"","Lees eerst de tekst onder de opdracht")</f>
        <v>Lees eerst de tekst onder de opdracht</v>
      </c>
      <c r="S8" s="2"/>
      <c r="AA8" s="43"/>
      <c r="AB8" s="7" t="s">
        <v>32</v>
      </c>
      <c r="AC8" s="38" t="str">
        <f>IF(AND(AA8&lt;=120,AA8&gt;=10),"GOED","")</f>
        <v/>
      </c>
    </row>
    <row r="9" spans="2:42" ht="18.75" x14ac:dyDescent="0.3">
      <c r="B9" s="36" t="str">
        <f>IF(AND(AA8&lt;=120,AA8&gt;=10),"Het inkomen is gedaald. Een lager inkomen verlaagt het besteedbaar inkomen, de consumptie neemt af, waardoor de bestedingen afnemen etc.","De bezuinigingen kunnen maximaal 120 miljard zijn en moeten minstens 10 miljard zijn.")</f>
        <v>De bezuinigingen kunnen maximaal 120 miljard zijn en moeten minstens 10 miljard zijn.</v>
      </c>
      <c r="C9" s="14"/>
      <c r="D9" s="27"/>
      <c r="E9" s="14"/>
      <c r="F9" s="14"/>
      <c r="G9" s="14"/>
      <c r="H9" s="5"/>
      <c r="I9" s="11"/>
      <c r="J9" s="11"/>
      <c r="K9" s="28"/>
      <c r="L9" s="11"/>
      <c r="M9" s="11"/>
      <c r="N9" s="11"/>
      <c r="O9" s="11"/>
      <c r="P9" s="11"/>
      <c r="Q9" s="11"/>
      <c r="R9" s="11"/>
      <c r="S9" s="5"/>
      <c r="T9" s="5"/>
      <c r="U9" s="5"/>
      <c r="V9" s="5"/>
      <c r="Y9" s="39"/>
      <c r="AA9" s="37"/>
      <c r="AB9" s="24"/>
      <c r="AC9" s="24"/>
      <c r="AD9" s="20" t="s">
        <v>7</v>
      </c>
      <c r="AE9" s="21" t="s">
        <v>0</v>
      </c>
      <c r="AF9" s="22">
        <v>0.8</v>
      </c>
      <c r="AG9" s="21" t="s">
        <v>26</v>
      </c>
      <c r="AH9" s="23">
        <v>80</v>
      </c>
      <c r="AJ9" s="5" t="s">
        <v>24</v>
      </c>
      <c r="AK9" s="5">
        <f>2.5*($AH$9+$AF$10+$AF$12-$AA$8-($AK$10*40))</f>
        <v>700</v>
      </c>
      <c r="AL9" s="5">
        <f>2.5*($AH$9+$AF$10+$AF$12-$AA$8-(3*40))</f>
        <v>700</v>
      </c>
    </row>
    <row r="10" spans="2:42" ht="18.75" x14ac:dyDescent="0.3">
      <c r="B10" s="36" t="str">
        <f>IF(AND(AA8&lt;=120,AA8&gt;=10),"Dit gaat door totdat er weer sprake is van evenwicht op de goederenmarkt, waarbij het inkomen gelijk is aan de bestedingen.","")</f>
        <v/>
      </c>
      <c r="C10" s="14"/>
      <c r="D10" s="27"/>
      <c r="E10" s="14"/>
      <c r="F10" s="14"/>
      <c r="G10" s="14"/>
      <c r="H10" s="5"/>
      <c r="I10" s="11"/>
      <c r="J10" s="11"/>
      <c r="K10" s="28"/>
      <c r="L10" s="11"/>
      <c r="M10" s="11"/>
      <c r="N10" s="11"/>
      <c r="O10" s="11"/>
      <c r="P10" s="11"/>
      <c r="Q10" s="11"/>
      <c r="R10" s="11"/>
      <c r="S10" s="5"/>
      <c r="T10" s="5"/>
      <c r="U10" s="5"/>
      <c r="V10" s="5"/>
      <c r="W10" s="5"/>
      <c r="X10" s="5"/>
      <c r="Y10" s="6" t="str">
        <f>IF(AA8&lt;&gt;"","","")</f>
        <v/>
      </c>
      <c r="AA10" s="37"/>
      <c r="AB10" s="24"/>
      <c r="AC10" s="24"/>
      <c r="AD10" s="20" t="s">
        <v>3</v>
      </c>
      <c r="AE10" s="21" t="s">
        <v>0</v>
      </c>
      <c r="AF10" s="22">
        <v>50</v>
      </c>
      <c r="AG10" s="21"/>
      <c r="AH10" s="21"/>
      <c r="AJ10" s="5" t="s">
        <v>15</v>
      </c>
      <c r="AK10" s="5">
        <f>$AL$10-$AA$25</f>
        <v>3</v>
      </c>
      <c r="AL10" s="5">
        <v>3</v>
      </c>
    </row>
    <row r="11" spans="2:42" ht="18.75" x14ac:dyDescent="0.3">
      <c r="B11" s="36" t="str">
        <f>IF(AND(AA8&lt;=120,AA8&gt;=10),"In de bovenste grafiek zie je dat het inkomen is gedaald tot","")</f>
        <v/>
      </c>
      <c r="C11" s="14"/>
      <c r="D11" s="29"/>
      <c r="E11" s="14"/>
      <c r="F11" s="14"/>
      <c r="G11" s="14"/>
      <c r="H11" s="5"/>
      <c r="I11" s="5"/>
      <c r="J11" s="30" t="str">
        <f>IF(AND(AA8&lt;=120,AA8&gt;=10),AL9,"")</f>
        <v/>
      </c>
      <c r="K11" s="26" t="str">
        <f>IF(AND(AA8&lt;=120,AA8&gt;=10),"miljard","")</f>
        <v/>
      </c>
      <c r="L11" s="5"/>
      <c r="M11" s="5"/>
      <c r="N11" s="5"/>
      <c r="O11" s="5"/>
      <c r="P11" s="11"/>
      <c r="Q11" s="11"/>
      <c r="R11" s="11"/>
      <c r="S11" s="5"/>
      <c r="T11" s="5"/>
      <c r="U11" s="5"/>
      <c r="V11" s="5"/>
      <c r="W11" s="5"/>
      <c r="X11" s="5"/>
      <c r="AA11" s="37"/>
      <c r="AB11" s="24"/>
      <c r="AC11" s="24"/>
      <c r="AD11" s="20" t="s">
        <v>11</v>
      </c>
      <c r="AE11" s="21" t="s">
        <v>0</v>
      </c>
      <c r="AF11" s="22">
        <v>0.25</v>
      </c>
      <c r="AG11" s="21" t="s">
        <v>2</v>
      </c>
      <c r="AH11" s="21"/>
      <c r="AJ11" s="5" t="s">
        <v>25</v>
      </c>
      <c r="AK11" s="5"/>
      <c r="AL11" s="5"/>
    </row>
    <row r="12" spans="2:42" ht="15.75" x14ac:dyDescent="0.25">
      <c r="B12" s="24"/>
      <c r="I12" s="17"/>
      <c r="J12" s="17"/>
      <c r="K12" s="17"/>
      <c r="L12" s="17"/>
      <c r="M12" s="16"/>
      <c r="N12" s="16"/>
      <c r="O12" s="16"/>
      <c r="P12" s="16"/>
      <c r="W12" s="5"/>
      <c r="X12" s="5"/>
      <c r="AA12" s="24"/>
      <c r="AB12" s="24"/>
      <c r="AC12" s="24"/>
      <c r="AD12" s="20" t="s">
        <v>12</v>
      </c>
      <c r="AE12" s="21" t="s">
        <v>0</v>
      </c>
      <c r="AF12" s="22">
        <v>270</v>
      </c>
      <c r="AG12" s="21"/>
      <c r="AH12" s="21"/>
      <c r="AJ12" s="5" t="s">
        <v>16</v>
      </c>
      <c r="AK12" s="5">
        <f>($AK$9/400+1)+$AK$10/4-0.75</f>
        <v>2.75</v>
      </c>
      <c r="AL12" s="5">
        <f>($AK$9/400+1)+$AK$10/4-0.75</f>
        <v>2.75</v>
      </c>
    </row>
    <row r="13" spans="2:42" ht="18.75" x14ac:dyDescent="0.3">
      <c r="B13" s="34" t="s">
        <v>29</v>
      </c>
      <c r="C13" s="21"/>
      <c r="D13" s="22"/>
      <c r="E13" s="21"/>
      <c r="F13" s="21"/>
      <c r="G13" s="21"/>
      <c r="I13" s="2"/>
      <c r="J13" s="2"/>
      <c r="K13" s="2"/>
      <c r="O13" s="1"/>
      <c r="P13" s="2"/>
      <c r="Q13" s="2"/>
      <c r="R13" s="2"/>
      <c r="AA13" s="43"/>
      <c r="AB13" s="7" t="s">
        <v>32</v>
      </c>
      <c r="AC13" s="38" t="str">
        <f>IF($AA$13&lt;&gt;"",IF($AA$13=($AG$28),"GOED","FOUT"),"")</f>
        <v/>
      </c>
      <c r="AD13" s="20" t="s">
        <v>4</v>
      </c>
      <c r="AE13" s="21" t="s">
        <v>0</v>
      </c>
      <c r="AF13" s="20" t="s">
        <v>13</v>
      </c>
      <c r="AG13" s="21" t="s">
        <v>14</v>
      </c>
      <c r="AH13" s="21"/>
    </row>
    <row r="14" spans="2:42" ht="18.75" x14ac:dyDescent="0.3">
      <c r="B14" s="36" t="str">
        <f>IF(AND($AA$13&lt;&gt;"",AA8&lt;&gt;"",AC8="Goed"),IF($AA$13=(AG28),"Door de bezuiniging is het inkomen bij iedere rente lager. Dit betekent dat in de middelste grafiek de IS-lijn naar links verschuift. Dit geeft een beweging langs de MB-lijn.",""),"")</f>
        <v/>
      </c>
      <c r="C14" s="5"/>
      <c r="D14" s="5"/>
      <c r="E14" s="5"/>
      <c r="F14" s="5"/>
      <c r="G14" s="5"/>
      <c r="H14" s="5"/>
      <c r="I14" s="5"/>
      <c r="M14" s="11"/>
      <c r="O14" s="31"/>
      <c r="Q14" s="14"/>
      <c r="AA14" s="24"/>
      <c r="AB14" s="24"/>
      <c r="AC14" s="24"/>
    </row>
    <row r="15" spans="2:42" ht="18.75" x14ac:dyDescent="0.3">
      <c r="B15" s="36" t="str">
        <f>IF(AND($AA$13&lt;&gt;"",AA8&lt;&gt;"",AC8="Goed"),IF($AA$13=($AG$28),"De bezuiniging verlaagt de effectieve vraag. Er ontstaan aanbodoverschotten. Aanbieders zullen hun prijzen moeten verlagen. De inflatie daalt. ",""),"")</f>
        <v/>
      </c>
      <c r="C15" s="5"/>
      <c r="D15" s="5"/>
      <c r="E15" s="5"/>
      <c r="F15" s="5"/>
      <c r="G15" s="5"/>
      <c r="H15" s="5"/>
      <c r="I15" s="5"/>
      <c r="M15" s="11"/>
      <c r="O15" s="31"/>
      <c r="Q15" s="14"/>
      <c r="AA15" s="24"/>
      <c r="AB15" s="24"/>
      <c r="AC15" s="24"/>
      <c r="AD15" s="12" t="s">
        <v>6</v>
      </c>
      <c r="AE15" s="12" t="s">
        <v>8</v>
      </c>
      <c r="AF15" s="12" t="s">
        <v>5</v>
      </c>
      <c r="AG15" s="12" t="s">
        <v>12</v>
      </c>
      <c r="AH15" s="12" t="s">
        <v>11</v>
      </c>
      <c r="AI15" s="12" t="s">
        <v>44</v>
      </c>
      <c r="AJ15" s="12" t="s">
        <v>9</v>
      </c>
      <c r="AK15" s="12" t="s">
        <v>17</v>
      </c>
      <c r="AL15" s="12" t="s">
        <v>18</v>
      </c>
      <c r="AM15" s="12" t="s">
        <v>19</v>
      </c>
      <c r="AN15" s="12" t="s">
        <v>17</v>
      </c>
      <c r="AO15" s="12" t="s">
        <v>18</v>
      </c>
      <c r="AP15" s="12" t="s">
        <v>19</v>
      </c>
    </row>
    <row r="16" spans="2:42" ht="18.75" x14ac:dyDescent="0.3">
      <c r="B16" s="36" t="str">
        <f>IF(AND($AA$13&lt;&gt;"",AA8&lt;&gt;"",AC8="Goed"),IF($AA$13=($AG$28),"Vanwege loonstarheid en prijsrigiditeit nemen op korte termijn de reële productiekosten toe en de reële winstmarge af. Immers: prijzen dalen terwijl de productiekosten niet veranderen.",""),"")</f>
        <v/>
      </c>
      <c r="C16" s="5"/>
      <c r="D16" s="5"/>
      <c r="E16" s="5"/>
      <c r="F16" s="5"/>
      <c r="G16" s="5"/>
      <c r="H16" s="5"/>
      <c r="I16" s="5"/>
      <c r="M16" s="11"/>
      <c r="O16" s="31"/>
      <c r="Q16" s="14"/>
      <c r="AA16" s="24"/>
      <c r="AB16" s="24"/>
      <c r="AC16" s="24"/>
      <c r="AD16" s="5">
        <v>0</v>
      </c>
      <c r="AE16" s="5">
        <f>AH9</f>
        <v>80</v>
      </c>
      <c r="AF16" s="5">
        <f t="shared" ref="AF16:AF26" si="0">$AF$10</f>
        <v>50</v>
      </c>
      <c r="AG16" s="5">
        <f t="shared" ref="AG16:AG26" si="1">$AF$12</f>
        <v>270</v>
      </c>
      <c r="AH16" s="5">
        <f t="shared" ref="AH16:AH26" si="2">$AF$11*AD16</f>
        <v>0</v>
      </c>
      <c r="AI16" s="5">
        <f t="shared" ref="AI16:AI26" si="3">AE16+AF16+AG16-($AK$10*40)-$AA$8</f>
        <v>280</v>
      </c>
      <c r="AJ16" s="5">
        <f t="shared" ref="AJ16:AJ26" si="4">AD16</f>
        <v>0</v>
      </c>
      <c r="AK16" s="5">
        <v>10</v>
      </c>
      <c r="AL16" s="5">
        <f>$AL$10</f>
        <v>3</v>
      </c>
      <c r="AM16" s="5">
        <f>($AL$10/4+0.25)</f>
        <v>1</v>
      </c>
      <c r="AN16" s="5">
        <f>10-($AA$8/40)</f>
        <v>10</v>
      </c>
      <c r="AO16" s="5">
        <f>$AL$10-$AA$25</f>
        <v>3</v>
      </c>
      <c r="AP16" s="5">
        <f>AO16/4+0.25</f>
        <v>1</v>
      </c>
    </row>
    <row r="17" spans="2:42" ht="15.75" x14ac:dyDescent="0.25">
      <c r="B17" s="36" t="str">
        <f>IF(AND($AA$13&lt;&gt;"",AA8&lt;&gt;"",AC8="Goed"),IF($AA$13=($AG$28),"De productie is lager. Het geaggregeerde aanbod daalt. In de onderste grafiek geeft dit een beweging langs de GA lijn.",""),"")</f>
        <v/>
      </c>
      <c r="AA17" s="24"/>
      <c r="AB17" s="24"/>
      <c r="AC17" s="24"/>
      <c r="AD17" s="5">
        <v>100</v>
      </c>
      <c r="AE17" s="5">
        <f t="shared" ref="AE17:AE26" si="5">(AD17-AD17*$AF$11)*$AF$9+$AH$9</f>
        <v>140</v>
      </c>
      <c r="AF17" s="5">
        <f t="shared" si="0"/>
        <v>50</v>
      </c>
      <c r="AG17" s="5">
        <f t="shared" si="1"/>
        <v>270</v>
      </c>
      <c r="AH17" s="5">
        <f t="shared" si="2"/>
        <v>25</v>
      </c>
      <c r="AI17" s="5">
        <f t="shared" si="3"/>
        <v>340</v>
      </c>
      <c r="AJ17" s="5">
        <f t="shared" si="4"/>
        <v>100</v>
      </c>
      <c r="AK17" s="5">
        <f>AK16-1</f>
        <v>9</v>
      </c>
      <c r="AL17" s="5">
        <f t="shared" ref="AL17:AL26" si="6">$AL$10</f>
        <v>3</v>
      </c>
      <c r="AM17" s="5">
        <f>($AL$10/4+0.5)</f>
        <v>1.25</v>
      </c>
      <c r="AN17" s="5">
        <f>9-($AA$8/40)</f>
        <v>9</v>
      </c>
      <c r="AO17" s="5">
        <f t="shared" ref="AO17:AO26" si="7">$AL$10-$AA$25</f>
        <v>3</v>
      </c>
      <c r="AP17" s="5">
        <f>AO17/4+0.5</f>
        <v>1.25</v>
      </c>
    </row>
    <row r="18" spans="2:42" ht="18.75" x14ac:dyDescent="0.3">
      <c r="B18" s="35"/>
      <c r="C18" s="5"/>
      <c r="D18" s="5"/>
      <c r="E18" s="5"/>
      <c r="F18" s="5"/>
      <c r="G18" s="5"/>
      <c r="H18" s="5"/>
      <c r="I18" s="5"/>
      <c r="M18" s="11"/>
      <c r="O18" s="31"/>
      <c r="Q18" s="14"/>
      <c r="AA18" s="24"/>
      <c r="AB18" s="24"/>
      <c r="AC18" s="24"/>
      <c r="AD18" s="5">
        <v>200</v>
      </c>
      <c r="AE18" s="5">
        <f t="shared" si="5"/>
        <v>200</v>
      </c>
      <c r="AF18" s="5">
        <f t="shared" si="0"/>
        <v>50</v>
      </c>
      <c r="AG18" s="5">
        <f t="shared" si="1"/>
        <v>270</v>
      </c>
      <c r="AH18" s="5">
        <f t="shared" si="2"/>
        <v>50</v>
      </c>
      <c r="AI18" s="5">
        <f t="shared" si="3"/>
        <v>400</v>
      </c>
      <c r="AJ18" s="5">
        <f t="shared" si="4"/>
        <v>200</v>
      </c>
      <c r="AK18" s="5">
        <f t="shared" ref="AK18:AK26" si="8">AK17-1</f>
        <v>8</v>
      </c>
      <c r="AL18" s="5">
        <f t="shared" si="6"/>
        <v>3</v>
      </c>
      <c r="AM18" s="5">
        <f>($AL$10/4+0.75)</f>
        <v>1.5</v>
      </c>
      <c r="AN18" s="5">
        <f>8-($AA$8/40)</f>
        <v>8</v>
      </c>
      <c r="AO18" s="5">
        <f t="shared" si="7"/>
        <v>3</v>
      </c>
      <c r="AP18" s="5">
        <f>AP17+0.25</f>
        <v>1.5</v>
      </c>
    </row>
    <row r="19" spans="2:42" ht="18.75" x14ac:dyDescent="0.3">
      <c r="B19" s="34" t="s">
        <v>31</v>
      </c>
      <c r="C19" s="21"/>
      <c r="D19" s="22"/>
      <c r="E19" s="21"/>
      <c r="F19" s="21"/>
      <c r="G19" s="21"/>
      <c r="I19" s="2"/>
      <c r="J19" s="2"/>
      <c r="K19" s="2"/>
      <c r="O19" s="1"/>
      <c r="P19" s="2"/>
      <c r="Q19" s="2"/>
      <c r="R19" s="2"/>
      <c r="V19" s="33"/>
      <c r="W19" s="5"/>
      <c r="X19" s="5" t="str">
        <f>IF(V19&lt;&gt;"",IF(V19=(AK12),"GOED","FOUT"),"")</f>
        <v/>
      </c>
      <c r="AA19" s="43"/>
      <c r="AB19" s="7" t="s">
        <v>30</v>
      </c>
      <c r="AC19" s="38" t="str">
        <f>IF(AA19&lt;&gt;"",IF(AA19=(AK12),"GOED","FOUT"),"")</f>
        <v/>
      </c>
      <c r="AD19" s="5">
        <v>300</v>
      </c>
      <c r="AE19" s="5">
        <f t="shared" si="5"/>
        <v>260</v>
      </c>
      <c r="AF19" s="5">
        <f t="shared" si="0"/>
        <v>50</v>
      </c>
      <c r="AG19" s="5">
        <f t="shared" si="1"/>
        <v>270</v>
      </c>
      <c r="AH19" s="5">
        <f t="shared" si="2"/>
        <v>75</v>
      </c>
      <c r="AI19" s="5">
        <f t="shared" si="3"/>
        <v>460</v>
      </c>
      <c r="AJ19" s="5">
        <f t="shared" si="4"/>
        <v>300</v>
      </c>
      <c r="AK19" s="5">
        <f t="shared" si="8"/>
        <v>7</v>
      </c>
      <c r="AL19" s="5">
        <f t="shared" si="6"/>
        <v>3</v>
      </c>
      <c r="AM19" s="5">
        <f>($AL$10/4+1)</f>
        <v>1.75</v>
      </c>
      <c r="AN19" s="5">
        <f>7-($AA$8/40)</f>
        <v>7</v>
      </c>
      <c r="AO19" s="5">
        <f t="shared" si="7"/>
        <v>3</v>
      </c>
      <c r="AP19" s="5">
        <f t="shared" ref="AP19:AP26" si="9">AP18+0.25</f>
        <v>1.75</v>
      </c>
    </row>
    <row r="20" spans="2:42" ht="18.75" x14ac:dyDescent="0.3">
      <c r="B20" s="36" t="str">
        <f>IF(AND($AA$19&lt;&gt;"",AA8&lt;&gt;"",AA13&lt;&gt;"",AC13="Goed",AC8="Goed"),IF($AA$19=($AK$12),"Tegelijkertijd met de daling van de inflatie, daalt de verwachte inflatie. Bij aflopende contracten wordt hier rekening mee gehouden.",""),"")</f>
        <v/>
      </c>
      <c r="M20" s="11"/>
      <c r="O20" s="31"/>
      <c r="Q20" s="14"/>
      <c r="AA20" s="24"/>
      <c r="AB20" s="24"/>
      <c r="AC20" s="24"/>
      <c r="AD20" s="5">
        <v>400</v>
      </c>
      <c r="AE20" s="5">
        <f t="shared" si="5"/>
        <v>320</v>
      </c>
      <c r="AF20" s="5">
        <f t="shared" si="0"/>
        <v>50</v>
      </c>
      <c r="AG20" s="5">
        <f t="shared" si="1"/>
        <v>270</v>
      </c>
      <c r="AH20" s="5">
        <f t="shared" si="2"/>
        <v>100</v>
      </c>
      <c r="AI20" s="5">
        <f t="shared" si="3"/>
        <v>520</v>
      </c>
      <c r="AJ20" s="5">
        <f t="shared" si="4"/>
        <v>400</v>
      </c>
      <c r="AK20" s="5">
        <f t="shared" si="8"/>
        <v>6</v>
      </c>
      <c r="AL20" s="5">
        <f t="shared" si="6"/>
        <v>3</v>
      </c>
      <c r="AM20" s="5">
        <f>($AL$10/4+1.25)</f>
        <v>2</v>
      </c>
      <c r="AN20" s="5">
        <f>6-($AA$8/40)</f>
        <v>6</v>
      </c>
      <c r="AO20" s="5">
        <f t="shared" si="7"/>
        <v>3</v>
      </c>
      <c r="AP20" s="5">
        <f t="shared" si="9"/>
        <v>2</v>
      </c>
    </row>
    <row r="21" spans="2:42" ht="18.75" x14ac:dyDescent="0.3">
      <c r="B21" s="36" t="str">
        <f>IF(AND($AA$19&lt;&gt;"",AA8&lt;&gt;"",AA13&lt;&gt;"",AC13="Goed",AC8="Goed"),IF($AA$19=($AK$12),"Dit zorgt voor lagere inkoopprijzen en lagere lonen. Hierdoor dalen de reële kosten, de reële winstmarge neemt toe en de productie stijgt.",""),"")</f>
        <v/>
      </c>
      <c r="C21" s="5"/>
      <c r="D21" s="5"/>
      <c r="E21" s="5"/>
      <c r="F21" s="5"/>
      <c r="G21" s="5"/>
      <c r="H21" s="5"/>
      <c r="I21" s="5"/>
      <c r="M21" s="11"/>
      <c r="O21" s="31"/>
      <c r="Q21" s="14"/>
      <c r="AA21" s="24"/>
      <c r="AB21" s="24"/>
      <c r="AC21" s="24"/>
      <c r="AD21" s="5">
        <v>500</v>
      </c>
      <c r="AE21" s="5">
        <f t="shared" si="5"/>
        <v>380</v>
      </c>
      <c r="AF21" s="5">
        <f t="shared" si="0"/>
        <v>50</v>
      </c>
      <c r="AG21" s="5">
        <f t="shared" si="1"/>
        <v>270</v>
      </c>
      <c r="AH21" s="5">
        <f t="shared" si="2"/>
        <v>125</v>
      </c>
      <c r="AI21" s="5">
        <f t="shared" si="3"/>
        <v>580</v>
      </c>
      <c r="AJ21" s="5">
        <f t="shared" si="4"/>
        <v>500</v>
      </c>
      <c r="AK21" s="5">
        <f t="shared" si="8"/>
        <v>5</v>
      </c>
      <c r="AL21" s="5">
        <f t="shared" si="6"/>
        <v>3</v>
      </c>
      <c r="AM21" s="5">
        <f>($AL$10/4+1.5)</f>
        <v>2.25</v>
      </c>
      <c r="AN21" s="5">
        <f>5-($AA$8/40)</f>
        <v>5</v>
      </c>
      <c r="AO21" s="5">
        <f t="shared" si="7"/>
        <v>3</v>
      </c>
      <c r="AP21" s="5">
        <f t="shared" si="9"/>
        <v>2.25</v>
      </c>
    </row>
    <row r="22" spans="2:42" ht="18.75" x14ac:dyDescent="0.3">
      <c r="B22" s="36" t="str">
        <f>IF(AND($AA$19&lt;&gt;"",AA8&lt;&gt;"",AA13&lt;&gt;"",AC13="Goed",AC8="Goed"),IF($AA$19=($AK$12),"Dus bij de nieuwe lagere inflatie wordt er meer aangeboden; de GA-lijn verschuift naar rechts.",""),"")</f>
        <v/>
      </c>
      <c r="C22" s="5"/>
      <c r="D22" s="5"/>
      <c r="E22" s="5"/>
      <c r="F22" s="5"/>
      <c r="G22" s="5"/>
      <c r="H22" s="5"/>
      <c r="I22" s="5"/>
      <c r="M22" s="11"/>
      <c r="O22" s="31"/>
      <c r="Q22" s="14"/>
      <c r="AA22" s="24"/>
      <c r="AB22" s="24"/>
      <c r="AC22" s="24"/>
      <c r="AD22" s="5">
        <v>600</v>
      </c>
      <c r="AE22" s="5">
        <f t="shared" si="5"/>
        <v>440</v>
      </c>
      <c r="AF22" s="5">
        <f t="shared" si="0"/>
        <v>50</v>
      </c>
      <c r="AG22" s="5">
        <f t="shared" si="1"/>
        <v>270</v>
      </c>
      <c r="AH22" s="5">
        <f t="shared" si="2"/>
        <v>150</v>
      </c>
      <c r="AI22" s="5">
        <f t="shared" si="3"/>
        <v>640</v>
      </c>
      <c r="AJ22" s="5">
        <f t="shared" si="4"/>
        <v>600</v>
      </c>
      <c r="AK22" s="5">
        <f t="shared" si="8"/>
        <v>4</v>
      </c>
      <c r="AL22" s="5">
        <f t="shared" si="6"/>
        <v>3</v>
      </c>
      <c r="AM22" s="5">
        <f>($AL$10/4+1.75)</f>
        <v>2.5</v>
      </c>
      <c r="AN22" s="5">
        <f>4-($AA$8/40)</f>
        <v>4</v>
      </c>
      <c r="AO22" s="5">
        <f t="shared" si="7"/>
        <v>3</v>
      </c>
      <c r="AP22" s="5">
        <f t="shared" si="9"/>
        <v>2.5</v>
      </c>
    </row>
    <row r="23" spans="2:42" ht="18.75" x14ac:dyDescent="0.3">
      <c r="B23" s="36" t="str">
        <f>IF(AND($AA$19&lt;&gt;"",AA8&lt;&gt;"",AA13&lt;&gt;"",AC13="Goed",AC8="Goed"),IF($AA$19=($AK$12),"De CB verlaagt tegelijkertijd ook haar inflatieverwachting. De MB-lijn verschuift naar beneden.",""),"")</f>
        <v/>
      </c>
      <c r="C23" s="5"/>
      <c r="D23" s="5"/>
      <c r="E23" s="5"/>
      <c r="F23" s="5"/>
      <c r="G23" s="5"/>
      <c r="H23" s="5"/>
      <c r="I23" s="5"/>
      <c r="M23" s="11"/>
      <c r="O23" s="32"/>
      <c r="Q23" s="14"/>
      <c r="AA23" s="24"/>
      <c r="AB23" s="24"/>
      <c r="AC23" s="24"/>
      <c r="AD23" s="5">
        <v>700</v>
      </c>
      <c r="AE23" s="5">
        <f t="shared" si="5"/>
        <v>500</v>
      </c>
      <c r="AF23" s="5">
        <f t="shared" si="0"/>
        <v>50</v>
      </c>
      <c r="AG23" s="5">
        <f t="shared" si="1"/>
        <v>270</v>
      </c>
      <c r="AH23" s="5">
        <f t="shared" si="2"/>
        <v>175</v>
      </c>
      <c r="AI23" s="5">
        <f t="shared" si="3"/>
        <v>700</v>
      </c>
      <c r="AJ23" s="5">
        <f t="shared" si="4"/>
        <v>700</v>
      </c>
      <c r="AK23" s="5">
        <f t="shared" si="8"/>
        <v>3</v>
      </c>
      <c r="AL23" s="5">
        <f t="shared" si="6"/>
        <v>3</v>
      </c>
      <c r="AM23" s="5">
        <f>($AL$10/4+2)</f>
        <v>2.75</v>
      </c>
      <c r="AN23" s="5">
        <f>3-($AA$8/40)</f>
        <v>3</v>
      </c>
      <c r="AO23" s="5">
        <f t="shared" si="7"/>
        <v>3</v>
      </c>
      <c r="AP23" s="5">
        <f t="shared" si="9"/>
        <v>2.75</v>
      </c>
    </row>
    <row r="24" spans="2:42" ht="15.75" x14ac:dyDescent="0.25">
      <c r="B24" s="35" t="s">
        <v>10</v>
      </c>
      <c r="C24" s="5"/>
      <c r="D24" s="5"/>
      <c r="E24" s="5"/>
      <c r="F24" s="5"/>
      <c r="G24" s="5"/>
      <c r="H24" s="5"/>
      <c r="I24" s="5"/>
      <c r="J24" s="13"/>
      <c r="AA24" s="24"/>
      <c r="AB24" s="24"/>
      <c r="AC24" s="24"/>
      <c r="AD24" s="5">
        <v>800</v>
      </c>
      <c r="AE24" s="5">
        <f t="shared" si="5"/>
        <v>560</v>
      </c>
      <c r="AF24" s="5">
        <f t="shared" si="0"/>
        <v>50</v>
      </c>
      <c r="AG24" s="5">
        <f t="shared" si="1"/>
        <v>270</v>
      </c>
      <c r="AH24" s="5">
        <f t="shared" si="2"/>
        <v>200</v>
      </c>
      <c r="AI24" s="5">
        <f t="shared" si="3"/>
        <v>760</v>
      </c>
      <c r="AJ24" s="5">
        <f t="shared" si="4"/>
        <v>800</v>
      </c>
      <c r="AK24" s="5">
        <f t="shared" si="8"/>
        <v>2</v>
      </c>
      <c r="AL24" s="5">
        <f t="shared" si="6"/>
        <v>3</v>
      </c>
      <c r="AM24" s="5">
        <f>($AL10/4+2.25)</f>
        <v>3</v>
      </c>
      <c r="AN24" s="5">
        <f>2-($AA$8/40)</f>
        <v>2</v>
      </c>
      <c r="AO24" s="5">
        <f t="shared" si="7"/>
        <v>3</v>
      </c>
      <c r="AP24" s="5">
        <f t="shared" si="9"/>
        <v>3</v>
      </c>
    </row>
    <row r="25" spans="2:42" ht="18.75" x14ac:dyDescent="0.3">
      <c r="B25" s="34" t="s">
        <v>43</v>
      </c>
      <c r="C25" s="21"/>
      <c r="D25" s="22"/>
      <c r="E25" s="21"/>
      <c r="F25" s="21"/>
      <c r="G25" s="21"/>
      <c r="I25" s="2"/>
      <c r="J25" s="2"/>
      <c r="K25" s="2"/>
      <c r="O25" s="1"/>
      <c r="P25" s="2"/>
      <c r="Q25" s="2"/>
      <c r="R25" s="2"/>
      <c r="V25" s="33"/>
      <c r="W25" s="5"/>
      <c r="X25" s="5"/>
      <c r="AA25" s="43"/>
      <c r="AB25" s="7" t="s">
        <v>30</v>
      </c>
      <c r="AC25" s="38" t="str">
        <f>IF(AA25&lt;&gt;"",IF(AK9=(700),"GOED","FOUT"),"")</f>
        <v/>
      </c>
      <c r="AD25" s="5">
        <v>900</v>
      </c>
      <c r="AE25" s="5">
        <f t="shared" si="5"/>
        <v>620</v>
      </c>
      <c r="AF25" s="5">
        <f t="shared" si="0"/>
        <v>50</v>
      </c>
      <c r="AG25" s="5">
        <f t="shared" si="1"/>
        <v>270</v>
      </c>
      <c r="AH25" s="5">
        <f t="shared" si="2"/>
        <v>225</v>
      </c>
      <c r="AI25" s="5">
        <f t="shared" si="3"/>
        <v>820</v>
      </c>
      <c r="AJ25" s="5">
        <f t="shared" si="4"/>
        <v>900</v>
      </c>
      <c r="AK25" s="5">
        <f t="shared" si="8"/>
        <v>1</v>
      </c>
      <c r="AL25" s="5">
        <f t="shared" si="6"/>
        <v>3</v>
      </c>
      <c r="AM25" s="5">
        <f>($AL$10/4+2.5)</f>
        <v>3.25</v>
      </c>
      <c r="AN25" s="5">
        <f>1-($AA$8/40)</f>
        <v>1</v>
      </c>
      <c r="AO25" s="5">
        <f t="shared" si="7"/>
        <v>3</v>
      </c>
      <c r="AP25" s="5">
        <f t="shared" si="9"/>
        <v>3.25</v>
      </c>
    </row>
    <row r="26" spans="2:42" ht="15.75" x14ac:dyDescent="0.25">
      <c r="B26" s="36" t="str">
        <f>IF(AND($AA$25&lt;&gt;"",AA8&lt;&gt;"",AA13&lt;&gt;"",AA19&lt;&gt;"",AC13="Goed",AC19="Goed",AC8="Goed"),IF($AK$9=(700),"De economie bevindt zich weer op het lange termijngroeipad.",""),"")</f>
        <v/>
      </c>
      <c r="AD26" s="5">
        <v>1000</v>
      </c>
      <c r="AE26" s="5">
        <f t="shared" si="5"/>
        <v>680</v>
      </c>
      <c r="AF26" s="5">
        <f t="shared" si="0"/>
        <v>50</v>
      </c>
      <c r="AG26" s="5">
        <f t="shared" si="1"/>
        <v>270</v>
      </c>
      <c r="AH26" s="5">
        <f t="shared" si="2"/>
        <v>250</v>
      </c>
      <c r="AI26" s="5">
        <f t="shared" si="3"/>
        <v>880</v>
      </c>
      <c r="AJ26" s="5">
        <f t="shared" si="4"/>
        <v>1000</v>
      </c>
      <c r="AK26" s="5">
        <f t="shared" si="8"/>
        <v>0</v>
      </c>
      <c r="AL26" s="5">
        <f t="shared" si="6"/>
        <v>3</v>
      </c>
      <c r="AM26" s="5">
        <f>($AL$10/4+2.75)</f>
        <v>3.5</v>
      </c>
      <c r="AN26" s="5">
        <f>0-($AA$8/40)</f>
        <v>0</v>
      </c>
      <c r="AO26" s="5">
        <f t="shared" si="7"/>
        <v>3</v>
      </c>
      <c r="AP26" s="5">
        <f t="shared" si="9"/>
        <v>3.5</v>
      </c>
    </row>
    <row r="27" spans="2:42" ht="15.75" x14ac:dyDescent="0.25">
      <c r="B27" s="36" t="str">
        <f>IF(AND($AA$25&lt;&gt;"",AA8&lt;&gt;"",AA13&lt;&gt;"",AA19&lt;&gt;"",AC13="Goed",AC19="Goed",AC8="Goed"),IF($AK$9=(700),"Echter zijn door de bezuinigingen van de overheid en het monetaire beleid van de CB, de rente en de inflatie gedaald.",""),"")</f>
        <v/>
      </c>
      <c r="T27" s="12"/>
    </row>
    <row r="28" spans="2:42" x14ac:dyDescent="0.25">
      <c r="T28" s="5"/>
      <c r="AD28" s="5"/>
      <c r="AE28" s="5" t="s">
        <v>27</v>
      </c>
      <c r="AG28" s="5">
        <f>AL9-700</f>
        <v>0</v>
      </c>
      <c r="AI28" s="5"/>
    </row>
    <row r="29" spans="2:42" x14ac:dyDescent="0.25">
      <c r="B29" s="15" t="s">
        <v>1</v>
      </c>
      <c r="C29" s="13"/>
      <c r="T29" s="5"/>
      <c r="U29" s="5"/>
      <c r="Y29" s="46" t="s">
        <v>46</v>
      </c>
      <c r="Z29" s="45"/>
    </row>
    <row r="30" spans="2:42" x14ac:dyDescent="0.25">
      <c r="T30" s="5"/>
      <c r="U30" s="5"/>
      <c r="AD30" s="5"/>
    </row>
    <row r="31" spans="2:42" x14ac:dyDescent="0.25">
      <c r="T31" s="5"/>
      <c r="AD31" s="5"/>
    </row>
    <row r="32" spans="2:42" x14ac:dyDescent="0.25">
      <c r="T32" s="5"/>
    </row>
    <row r="33" spans="20:20" x14ac:dyDescent="0.25">
      <c r="T33" s="5"/>
    </row>
    <row r="34" spans="20:20" x14ac:dyDescent="0.25">
      <c r="T34" s="5"/>
    </row>
    <row r="35" spans="20:20" x14ac:dyDescent="0.25">
      <c r="T35" s="5"/>
    </row>
    <row r="36" spans="20:20" x14ac:dyDescent="0.25">
      <c r="T36" s="5"/>
    </row>
    <row r="37" spans="20:20" x14ac:dyDescent="0.25">
      <c r="T37" s="5"/>
    </row>
    <row r="38" spans="20:20" x14ac:dyDescent="0.25">
      <c r="T38" s="5"/>
    </row>
  </sheetData>
  <sheetProtection algorithmName="SHA-512" hashValue="0iWkjE4PdP/2rn0cWGGvGY5QO0EbnTBw8pKze8kDi4cNZ5Gb16NXGL4z+VDNyx0h4KklqaVN3Pey42B46QiCzQ==" saltValue="Xn1rd0qaoIAAuQI1FYRvxA==" spinCount="100000" sheet="1" objects="1" scenarios="1"/>
  <hyperlinks>
    <hyperlink ref="B29" r:id="rId1" xr:uid="{00000000-0004-0000-0200-000000000000}"/>
    <hyperlink ref="Y29:Z29" location="Overheidsbesteding!A1" display="Volgende oefening" xr:uid="{78431BCC-8AF5-41FE-8E72-7C9BB744C8AB}"/>
    <hyperlink ref="Y29" location="Inhoud!A1" display="Terug" xr:uid="{BC6D8F58-77DE-4DCC-A150-94E884C948C2}"/>
  </hyperlinks>
  <pageMargins left="0.7" right="0.7" top="0.75" bottom="0.75" header="0.3" footer="0.3"/>
  <pageSetup paperSize="9" orientation="portrait"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4200F-D86A-4C1A-ACCE-CD5527330F58}">
  <dimension ref="B1:AP38"/>
  <sheetViews>
    <sheetView workbookViewId="0">
      <selection activeCell="Y29" sqref="Y29"/>
    </sheetView>
  </sheetViews>
  <sheetFormatPr defaultRowHeight="15" x14ac:dyDescent="0.25"/>
  <cols>
    <col min="1" max="1" width="1.7109375" style="6" customWidth="1"/>
    <col min="2" max="2" width="11.85546875" style="6" customWidth="1"/>
    <col min="3" max="3" width="2.5703125" style="6" bestFit="1" customWidth="1"/>
    <col min="4" max="4" width="7.140625" style="6" customWidth="1"/>
    <col min="5" max="5" width="6.7109375" style="6" customWidth="1"/>
    <col min="6" max="6" width="2.7109375" style="6" customWidth="1"/>
    <col min="7" max="7" width="5.5703125" style="6" customWidth="1"/>
    <col min="8" max="8" width="9.140625" style="6"/>
    <col min="9" max="9" width="11.28515625" style="6" customWidth="1"/>
    <col min="10" max="10" width="4.42578125" style="6" customWidth="1"/>
    <col min="11" max="11" width="4.28515625" style="6" customWidth="1"/>
    <col min="12" max="12" width="4.140625" style="6" customWidth="1"/>
    <col min="13" max="13" width="3.85546875" style="6" customWidth="1"/>
    <col min="14" max="14" width="2.28515625" style="6" customWidth="1"/>
    <col min="15" max="15" width="11.7109375" style="6" customWidth="1"/>
    <col min="16" max="16" width="2.5703125" style="6" customWidth="1"/>
    <col min="17" max="17" width="1.85546875" style="6" customWidth="1"/>
    <col min="18" max="18" width="2.140625" style="6" customWidth="1"/>
    <col min="19" max="19" width="2.28515625" style="6" customWidth="1"/>
    <col min="20" max="20" width="9.140625" style="6"/>
    <col min="21" max="21" width="7.140625" style="6" customWidth="1"/>
    <col min="22" max="22" width="9.7109375" style="6" customWidth="1"/>
    <col min="23" max="23" width="6.85546875" style="6" customWidth="1"/>
    <col min="24" max="24" width="6.28515625" style="6" customWidth="1"/>
    <col min="25" max="25" width="9.5703125" style="6" customWidth="1"/>
    <col min="26" max="26" width="22.140625" style="6" customWidth="1"/>
    <col min="27" max="27" width="7.140625" style="6" customWidth="1"/>
    <col min="28" max="28" width="6.85546875" style="6" customWidth="1"/>
    <col min="29" max="29" width="6" style="6" customWidth="1"/>
    <col min="30" max="30" width="6.5703125" style="6" customWidth="1"/>
    <col min="31" max="31" width="6.28515625" style="6" customWidth="1"/>
    <col min="32" max="32" width="5.28515625" style="6" customWidth="1"/>
    <col min="33" max="33" width="5.42578125" style="6" customWidth="1"/>
    <col min="34" max="34" width="5.5703125" style="6" customWidth="1"/>
    <col min="35" max="35" width="5.42578125" style="6" customWidth="1"/>
    <col min="36" max="36" width="7.42578125" style="6" customWidth="1"/>
    <col min="37" max="37" width="6.5703125" style="6" customWidth="1"/>
    <col min="38" max="39" width="6.85546875" style="6" customWidth="1"/>
    <col min="40" max="40" width="5.140625" style="6" customWidth="1"/>
    <col min="41" max="41" width="4.42578125" style="6" customWidth="1"/>
    <col min="42" max="42" width="4.7109375" style="6" customWidth="1"/>
    <col min="43" max="43" width="7.7109375" style="6" customWidth="1"/>
    <col min="44" max="16384" width="9.140625" style="6"/>
  </cols>
  <sheetData>
    <row r="1" spans="2:42" ht="26.25" x14ac:dyDescent="0.4">
      <c r="B1" s="41" t="s">
        <v>20</v>
      </c>
      <c r="C1" s="42"/>
      <c r="D1" s="42"/>
      <c r="E1" s="42"/>
      <c r="F1" s="42"/>
      <c r="G1" s="42"/>
    </row>
    <row r="2" spans="2:42" ht="15.75" x14ac:dyDescent="0.25">
      <c r="B2" s="7" t="s">
        <v>51</v>
      </c>
      <c r="C2" s="3"/>
      <c r="D2" s="3"/>
      <c r="E2" s="8"/>
      <c r="F2" s="8"/>
      <c r="G2" s="8"/>
      <c r="H2" s="8"/>
      <c r="I2" s="8"/>
      <c r="J2" s="8"/>
      <c r="K2" s="8"/>
      <c r="L2" s="8"/>
      <c r="M2" s="8"/>
      <c r="N2" s="8"/>
      <c r="O2" s="8"/>
      <c r="P2" s="8"/>
      <c r="Q2" s="8"/>
      <c r="R2" s="8"/>
      <c r="S2" s="8"/>
      <c r="T2" s="8"/>
      <c r="U2" s="8"/>
    </row>
    <row r="3" spans="2:42" ht="15.75" x14ac:dyDescent="0.25">
      <c r="B3" s="7" t="s">
        <v>35</v>
      </c>
      <c r="C3" s="3"/>
      <c r="D3" s="3"/>
      <c r="E3" s="8"/>
      <c r="F3" s="8"/>
      <c r="G3" s="8"/>
      <c r="H3" s="8"/>
      <c r="I3" s="8"/>
      <c r="J3" s="8"/>
      <c r="K3" s="8"/>
      <c r="L3" s="8"/>
      <c r="M3" s="8"/>
      <c r="N3" s="8"/>
      <c r="O3" s="8"/>
      <c r="P3" s="8"/>
      <c r="Q3" s="8"/>
      <c r="R3" s="8"/>
      <c r="S3" s="8"/>
      <c r="T3" s="8"/>
      <c r="U3" s="8"/>
    </row>
    <row r="4" spans="2:42" ht="15.75" x14ac:dyDescent="0.25">
      <c r="B4" s="7" t="s">
        <v>22</v>
      </c>
      <c r="C4" s="3"/>
      <c r="D4" s="3"/>
      <c r="E4" s="8"/>
      <c r="F4" s="8"/>
      <c r="G4" s="8"/>
      <c r="H4" s="8"/>
      <c r="I4" s="8"/>
      <c r="J4" s="8"/>
      <c r="K4" s="8"/>
      <c r="L4" s="8"/>
      <c r="M4" s="8"/>
      <c r="N4" s="8"/>
      <c r="O4" s="8"/>
      <c r="P4" s="8"/>
      <c r="Q4" s="8"/>
      <c r="R4" s="8"/>
      <c r="S4" s="8"/>
      <c r="T4" s="8"/>
      <c r="U4" s="8"/>
    </row>
    <row r="5" spans="2:42" ht="15.75" x14ac:dyDescent="0.25">
      <c r="B5" s="7" t="s">
        <v>36</v>
      </c>
      <c r="C5" s="3"/>
      <c r="D5" s="3"/>
      <c r="E5" s="8"/>
      <c r="F5" s="8"/>
      <c r="G5" s="8"/>
      <c r="H5" s="8"/>
      <c r="I5" s="8"/>
      <c r="J5" s="8"/>
      <c r="K5" s="8"/>
      <c r="L5" s="8"/>
      <c r="M5" s="8"/>
      <c r="N5" s="8"/>
      <c r="O5" s="8"/>
      <c r="P5" s="8"/>
      <c r="Q5" s="8"/>
      <c r="R5" s="8"/>
      <c r="S5" s="8"/>
      <c r="T5" s="8"/>
      <c r="U5" s="8"/>
    </row>
    <row r="6" spans="2:42" ht="15.75" x14ac:dyDescent="0.25">
      <c r="B6" s="7"/>
      <c r="C6" s="3"/>
      <c r="D6" s="3"/>
      <c r="E6" s="8"/>
      <c r="F6" s="8"/>
      <c r="G6" s="8"/>
      <c r="H6" s="8"/>
      <c r="I6" s="8"/>
      <c r="J6" s="8"/>
      <c r="K6" s="8"/>
      <c r="L6" s="8"/>
      <c r="M6" s="8"/>
      <c r="N6" s="8"/>
      <c r="O6" s="8"/>
      <c r="P6" s="8"/>
      <c r="Q6" s="8"/>
      <c r="R6" s="8"/>
      <c r="S6" s="8"/>
      <c r="T6" s="8"/>
      <c r="U6" s="8"/>
    </row>
    <row r="7" spans="2:42" ht="15.75" x14ac:dyDescent="0.25">
      <c r="B7" s="25" t="s">
        <v>42</v>
      </c>
      <c r="C7" s="7"/>
      <c r="D7" s="7"/>
      <c r="E7" s="7"/>
      <c r="F7" s="7"/>
      <c r="G7" s="7"/>
      <c r="H7" s="7"/>
      <c r="I7" s="7"/>
      <c r="J7" s="7"/>
      <c r="K7" s="7"/>
      <c r="L7" s="7"/>
      <c r="M7" s="7"/>
      <c r="N7" s="7"/>
      <c r="O7" s="7"/>
      <c r="P7" s="7"/>
      <c r="Q7" s="7"/>
      <c r="R7" s="7"/>
      <c r="S7" s="7"/>
      <c r="T7" s="7"/>
      <c r="U7" s="7"/>
      <c r="V7" s="7"/>
      <c r="W7" s="7"/>
      <c r="X7" s="7"/>
      <c r="Y7" s="24"/>
      <c r="Z7" s="24"/>
      <c r="AA7" s="24"/>
      <c r="AB7" s="24"/>
      <c r="AC7" s="24"/>
      <c r="AD7" s="24"/>
    </row>
    <row r="8" spans="2:42" ht="18.75" x14ac:dyDescent="0.3">
      <c r="B8" s="34" t="s">
        <v>37</v>
      </c>
      <c r="C8" s="21"/>
      <c r="D8" s="22"/>
      <c r="E8" s="21"/>
      <c r="F8" s="21"/>
      <c r="G8" s="22"/>
      <c r="H8" s="9"/>
      <c r="I8" s="2"/>
      <c r="J8" s="2"/>
      <c r="K8" s="10"/>
      <c r="L8" s="2"/>
      <c r="M8" s="2"/>
      <c r="N8" s="2"/>
      <c r="O8" s="4"/>
      <c r="P8" s="2"/>
      <c r="Q8" s="2"/>
      <c r="R8" s="40" t="str">
        <f>IF(AND(AA8&lt;=160,AA8&gt;20),"","Lees eerst de tekst onder de opdracht")</f>
        <v>Lees eerst de tekst onder de opdracht</v>
      </c>
      <c r="S8" s="2"/>
      <c r="AA8" s="43"/>
      <c r="AB8" s="7" t="s">
        <v>32</v>
      </c>
      <c r="AC8" s="38" t="str">
        <f>IF(AND(AA8&lt;=160,AA8&gt;=20),"GOED","")</f>
        <v/>
      </c>
    </row>
    <row r="9" spans="2:42" ht="18.75" x14ac:dyDescent="0.3">
      <c r="B9" s="36" t="str">
        <f>IF(AND(AA8&lt;=160,AA8&gt;=20),"Het inkomen is gestegen. Een hoger inkomen verhoogt het besteedbaar inkomen, de consumptie stijgt, waardoor de bestedingen toenemen etc.","De bestedingen kunnen maximaal 160 miljard zijn en moeten minstens 20 miljard zijn.")</f>
        <v>De bestedingen kunnen maximaal 160 miljard zijn en moeten minstens 20 miljard zijn.</v>
      </c>
      <c r="C9" s="14"/>
      <c r="D9" s="27"/>
      <c r="E9" s="14"/>
      <c r="F9" s="14"/>
      <c r="G9" s="14"/>
      <c r="H9" s="5"/>
      <c r="I9" s="11"/>
      <c r="J9" s="11"/>
      <c r="K9" s="28"/>
      <c r="L9" s="11"/>
      <c r="M9" s="11"/>
      <c r="N9" s="11"/>
      <c r="O9" s="11"/>
      <c r="P9" s="11"/>
      <c r="Q9" s="11"/>
      <c r="R9" s="11"/>
      <c r="S9" s="5"/>
      <c r="T9" s="5"/>
      <c r="U9" s="5"/>
      <c r="V9" s="5"/>
      <c r="Y9" s="39"/>
      <c r="AA9" s="37"/>
      <c r="AB9" s="24"/>
      <c r="AC9" s="24"/>
      <c r="AD9" s="20" t="s">
        <v>7</v>
      </c>
      <c r="AE9" s="21" t="s">
        <v>0</v>
      </c>
      <c r="AF9" s="22">
        <v>0.8</v>
      </c>
      <c r="AG9" s="21" t="s">
        <v>26</v>
      </c>
      <c r="AH9" s="23">
        <v>60</v>
      </c>
      <c r="AJ9" s="5" t="s">
        <v>24</v>
      </c>
      <c r="AK9" s="5">
        <f>2.5*($AH$9+$AF$10+$AF$12+$AA$8)-AA25*50</f>
        <v>500</v>
      </c>
      <c r="AL9" s="5">
        <f>2.5*($AH$9+$AF$10+$AF$12+$AA$8)</f>
        <v>500</v>
      </c>
    </row>
    <row r="10" spans="2:42" ht="18.75" x14ac:dyDescent="0.3">
      <c r="B10" s="36" t="str">
        <f>IF(AND(AA8&lt;=160,AA8&gt;=20),"Dit gaat door totdat er weer sprake is van evenwicht op de goederenmarkt, waarbij het inkomen gelijk is aan de bestedingen.","")</f>
        <v/>
      </c>
      <c r="C10" s="14"/>
      <c r="D10" s="27"/>
      <c r="E10" s="14"/>
      <c r="F10" s="14"/>
      <c r="G10" s="14"/>
      <c r="H10" s="5"/>
      <c r="I10" s="11"/>
      <c r="J10" s="11"/>
      <c r="K10" s="28"/>
      <c r="L10" s="11"/>
      <c r="M10" s="11"/>
      <c r="N10" s="11"/>
      <c r="O10" s="11"/>
      <c r="P10" s="11"/>
      <c r="Q10" s="11"/>
      <c r="R10" s="11"/>
      <c r="S10" s="5"/>
      <c r="T10" s="5"/>
      <c r="U10" s="5"/>
      <c r="V10" s="5"/>
      <c r="W10" s="5"/>
      <c r="X10" s="5"/>
      <c r="Y10" s="6" t="str">
        <f>IF(AA8&lt;&gt;"","","")</f>
        <v/>
      </c>
      <c r="AA10" s="37"/>
      <c r="AB10" s="24"/>
      <c r="AC10" s="24"/>
      <c r="AD10" s="20" t="s">
        <v>3</v>
      </c>
      <c r="AE10" s="21" t="s">
        <v>0</v>
      </c>
      <c r="AF10" s="22">
        <v>40</v>
      </c>
      <c r="AG10" s="21"/>
      <c r="AH10" s="21"/>
      <c r="AJ10" s="5" t="s">
        <v>15</v>
      </c>
      <c r="AK10" s="5">
        <f>2+AA25</f>
        <v>2</v>
      </c>
      <c r="AL10" s="5">
        <v>2</v>
      </c>
    </row>
    <row r="11" spans="2:42" ht="18.75" x14ac:dyDescent="0.3">
      <c r="B11" s="36" t="str">
        <f>IF(AND(AA8&lt;=160,AA8&gt;=20),"In de bovenste grafiek zie je dat het inkomen is gestegen tot","")</f>
        <v/>
      </c>
      <c r="C11" s="14"/>
      <c r="D11" s="29"/>
      <c r="E11" s="14"/>
      <c r="F11" s="14"/>
      <c r="G11" s="14"/>
      <c r="H11" s="5"/>
      <c r="I11" s="5"/>
      <c r="J11" s="30" t="str">
        <f>IF(AND(AA8&lt;=160,AA8&gt;=20),AL9,"")</f>
        <v/>
      </c>
      <c r="K11" s="26" t="str">
        <f>IF(AND(AA8&lt;=160,AA8&gt;=40),"miljard","")</f>
        <v/>
      </c>
      <c r="L11" s="5"/>
      <c r="M11" s="5"/>
      <c r="N11" s="5"/>
      <c r="O11" s="5"/>
      <c r="P11" s="11"/>
      <c r="Q11" s="11"/>
      <c r="R11" s="11"/>
      <c r="S11" s="5"/>
      <c r="T11" s="5"/>
      <c r="U11" s="5"/>
      <c r="V11" s="5"/>
      <c r="W11" s="5"/>
      <c r="X11" s="5"/>
      <c r="AA11" s="37"/>
      <c r="AB11" s="24"/>
      <c r="AC11" s="24"/>
      <c r="AD11" s="20" t="s">
        <v>11</v>
      </c>
      <c r="AE11" s="21" t="s">
        <v>0</v>
      </c>
      <c r="AF11" s="22">
        <v>0.25</v>
      </c>
      <c r="AG11" s="21" t="s">
        <v>2</v>
      </c>
      <c r="AH11" s="21"/>
      <c r="AJ11" s="5" t="s">
        <v>25</v>
      </c>
      <c r="AK11" s="5"/>
      <c r="AL11" s="5"/>
    </row>
    <row r="12" spans="2:42" ht="15.75" x14ac:dyDescent="0.25">
      <c r="B12" s="24"/>
      <c r="I12" s="17"/>
      <c r="J12" s="17"/>
      <c r="K12" s="17"/>
      <c r="L12" s="17"/>
      <c r="M12" s="16"/>
      <c r="N12" s="16"/>
      <c r="O12" s="16"/>
      <c r="P12" s="16"/>
      <c r="W12" s="5"/>
      <c r="X12" s="5"/>
      <c r="AA12" s="24"/>
      <c r="AB12" s="24"/>
      <c r="AC12" s="24"/>
      <c r="AD12" s="20" t="s">
        <v>12</v>
      </c>
      <c r="AE12" s="21" t="s">
        <v>0</v>
      </c>
      <c r="AF12" s="22">
        <v>100</v>
      </c>
      <c r="AG12" s="21"/>
      <c r="AH12" s="21"/>
      <c r="AJ12" s="5" t="s">
        <v>16</v>
      </c>
      <c r="AK12" s="5">
        <f>($AK$9/400+1)+$AA$25/8-0.25</f>
        <v>2</v>
      </c>
      <c r="AL12" s="5">
        <v>2</v>
      </c>
    </row>
    <row r="13" spans="2:42" ht="18.75" x14ac:dyDescent="0.3">
      <c r="B13" s="34" t="s">
        <v>29</v>
      </c>
      <c r="C13" s="21"/>
      <c r="D13" s="22"/>
      <c r="E13" s="21"/>
      <c r="F13" s="21"/>
      <c r="G13" s="21"/>
      <c r="I13" s="2"/>
      <c r="J13" s="2"/>
      <c r="K13" s="2"/>
      <c r="O13" s="1"/>
      <c r="P13" s="2"/>
      <c r="Q13" s="2"/>
      <c r="R13" s="2"/>
      <c r="AA13" s="43"/>
      <c r="AB13" s="7" t="s">
        <v>32</v>
      </c>
      <c r="AC13" s="38" t="str">
        <f>IF($AA$13&lt;&gt;"",IF($AA$13=($AG$28),"GOED","FOUT"),"")</f>
        <v/>
      </c>
      <c r="AD13" s="20" t="s">
        <v>4</v>
      </c>
      <c r="AE13" s="21" t="s">
        <v>0</v>
      </c>
      <c r="AF13" s="20" t="s">
        <v>13</v>
      </c>
      <c r="AG13" s="21" t="s">
        <v>14</v>
      </c>
      <c r="AH13" s="21"/>
      <c r="AJ13" s="5" t="s">
        <v>34</v>
      </c>
      <c r="AK13" s="5">
        <v>0</v>
      </c>
    </row>
    <row r="14" spans="2:42" ht="18.75" x14ac:dyDescent="0.3">
      <c r="B14" s="36" t="str">
        <f>IF(AND($AA$13&lt;&gt;"",AA8&lt;&gt;"",AC8="Goed"),IF($AA$13=(AG28),"Door de bestedingen is het inkomen bij iedere rente hoger. Dit betekent dat in de middelste grafiek de IS-lijn naar rechts verschuift. Dit geeft een beweging langs de MB-lijn.",""),"")</f>
        <v/>
      </c>
      <c r="C14" s="5"/>
      <c r="D14" s="5"/>
      <c r="E14" s="5"/>
      <c r="F14" s="5"/>
      <c r="G14" s="5"/>
      <c r="H14" s="5"/>
      <c r="I14" s="5"/>
      <c r="M14" s="11"/>
      <c r="O14" s="31"/>
      <c r="Q14" s="14"/>
      <c r="AA14" s="24"/>
      <c r="AB14" s="24"/>
      <c r="AC14" s="24"/>
    </row>
    <row r="15" spans="2:42" ht="18.75" x14ac:dyDescent="0.3">
      <c r="B15" s="36" t="str">
        <f>IF(AND($AA$13&lt;&gt;"",AA8&lt;&gt;"",AC8="Goed"),IF($AA$13=($AG$28),"De bestedingen verhogen de effectieve vraag. Er ontstaan vraagoverschotten. Aanbieders zullen hun prijzen moeten verhogen. De inflatie stijgt. ",""),"")</f>
        <v/>
      </c>
      <c r="C15" s="5"/>
      <c r="D15" s="5"/>
      <c r="E15" s="5"/>
      <c r="F15" s="5"/>
      <c r="G15" s="5"/>
      <c r="H15" s="5"/>
      <c r="I15" s="5"/>
      <c r="M15" s="11"/>
      <c r="O15" s="31"/>
      <c r="Q15" s="14"/>
      <c r="AA15" s="24"/>
      <c r="AB15" s="24"/>
      <c r="AC15" s="24"/>
      <c r="AD15" s="12" t="s">
        <v>6</v>
      </c>
      <c r="AE15" s="12" t="s">
        <v>8</v>
      </c>
      <c r="AF15" s="12" t="s">
        <v>5</v>
      </c>
      <c r="AG15" s="12" t="s">
        <v>12</v>
      </c>
      <c r="AH15" s="12" t="s">
        <v>11</v>
      </c>
      <c r="AI15" s="12" t="s">
        <v>44</v>
      </c>
      <c r="AJ15" s="12" t="s">
        <v>9</v>
      </c>
      <c r="AK15" s="12" t="s">
        <v>17</v>
      </c>
      <c r="AL15" s="12" t="s">
        <v>18</v>
      </c>
      <c r="AM15" s="12" t="s">
        <v>19</v>
      </c>
      <c r="AN15" s="12" t="s">
        <v>17</v>
      </c>
      <c r="AO15" s="12" t="s">
        <v>18</v>
      </c>
      <c r="AP15" s="12" t="s">
        <v>19</v>
      </c>
    </row>
    <row r="16" spans="2:42" ht="18.75" x14ac:dyDescent="0.3">
      <c r="B16" s="36" t="str">
        <f>IF(AND($AA$13&lt;&gt;"",AA8&lt;&gt;"",AC8="Goed"),IF($AA$13=($AG$28),"Vanwege loonstarheid en prijsrigiditeit nemen op korte termijn de reële productiekosten af en de reële winstmarge toe. Immers: prijzen stijgen terwijl de productiekosten niet veranderen.",""),"")</f>
        <v/>
      </c>
      <c r="C16" s="5"/>
      <c r="D16" s="5"/>
      <c r="E16" s="5"/>
      <c r="F16" s="5"/>
      <c r="G16" s="5"/>
      <c r="H16" s="5"/>
      <c r="I16" s="5"/>
      <c r="M16" s="11"/>
      <c r="O16" s="31"/>
      <c r="Q16" s="14"/>
      <c r="AA16" s="24"/>
      <c r="AB16" s="24"/>
      <c r="AC16" s="24"/>
      <c r="AD16" s="5">
        <v>0</v>
      </c>
      <c r="AE16" s="5">
        <f>AH9</f>
        <v>60</v>
      </c>
      <c r="AF16" s="5">
        <f t="shared" ref="AF16:AF26" si="0">$AF$10</f>
        <v>40</v>
      </c>
      <c r="AG16" s="5">
        <f t="shared" ref="AG16:AG26" si="1">$AF$12</f>
        <v>100</v>
      </c>
      <c r="AH16" s="5">
        <f t="shared" ref="AH16:AH26" si="2">$AF$11*AD16</f>
        <v>0</v>
      </c>
      <c r="AI16" s="5">
        <f>(AE16+AF16+AG16)+$AA$8-($AA$25*20)</f>
        <v>200</v>
      </c>
      <c r="AJ16" s="5">
        <f t="shared" ref="AJ16:AJ26" si="3">AD16</f>
        <v>0</v>
      </c>
      <c r="AK16" s="5">
        <f>12</f>
        <v>12</v>
      </c>
      <c r="AL16" s="5">
        <f>$AL$10</f>
        <v>2</v>
      </c>
      <c r="AM16" s="5">
        <f>($AL$10/4+0.25)</f>
        <v>0.75</v>
      </c>
      <c r="AN16" s="5">
        <f>10+($AA$8/20)+2</f>
        <v>12</v>
      </c>
      <c r="AO16" s="5">
        <f>$AL$10+$AA$25</f>
        <v>2</v>
      </c>
      <c r="AP16" s="5">
        <f>$AO$16/8+0.5</f>
        <v>0.75</v>
      </c>
    </row>
    <row r="17" spans="2:42" ht="15.75" x14ac:dyDescent="0.25">
      <c r="B17" s="36" t="str">
        <f>IF(AND($AA$13&lt;&gt;"",AA8&lt;&gt;"",AC8="Goed"),IF($AA$13=($AG$28),"De productie is hoger. Het geaggregeerde aanbod stijgt. In de onderste grafiek geeft dit een beweging langs de GA lijn.",""),"")</f>
        <v/>
      </c>
      <c r="AA17" s="24"/>
      <c r="AB17" s="24"/>
      <c r="AC17" s="24"/>
      <c r="AD17" s="5">
        <v>100</v>
      </c>
      <c r="AE17" s="5">
        <f t="shared" ref="AE17:AE26" si="4">(AD17-AD17*$AF$11)*$AF$9+$AH$9</f>
        <v>120</v>
      </c>
      <c r="AF17" s="5">
        <f t="shared" si="0"/>
        <v>40</v>
      </c>
      <c r="AG17" s="5">
        <f t="shared" si="1"/>
        <v>100</v>
      </c>
      <c r="AH17" s="5">
        <f t="shared" si="2"/>
        <v>25</v>
      </c>
      <c r="AI17" s="5">
        <f t="shared" ref="AI17:AI26" si="5">AE17+AF17+AG17+$AA$8-($AA$25*20)</f>
        <v>260</v>
      </c>
      <c r="AJ17" s="5">
        <f t="shared" si="3"/>
        <v>100</v>
      </c>
      <c r="AK17" s="5">
        <f>AK16-2</f>
        <v>10</v>
      </c>
      <c r="AL17" s="5">
        <f t="shared" ref="AL17:AL26" si="6">$AL$10</f>
        <v>2</v>
      </c>
      <c r="AM17" s="5">
        <f>($AL$10/4+0.5)</f>
        <v>1</v>
      </c>
      <c r="AN17" s="5">
        <f>9+($AA$8/20)+1</f>
        <v>10</v>
      </c>
      <c r="AO17" s="5">
        <f t="shared" ref="AO17:AO26" si="7">$AL$10+$AA$25</f>
        <v>2</v>
      </c>
      <c r="AP17" s="5">
        <f>$AO$16/8+0.75</f>
        <v>1</v>
      </c>
    </row>
    <row r="18" spans="2:42" ht="18.75" x14ac:dyDescent="0.3">
      <c r="B18" s="35"/>
      <c r="C18" s="5"/>
      <c r="D18" s="5"/>
      <c r="E18" s="5"/>
      <c r="F18" s="5"/>
      <c r="G18" s="5"/>
      <c r="H18" s="5"/>
      <c r="I18" s="5"/>
      <c r="M18" s="11"/>
      <c r="O18" s="31"/>
      <c r="Q18" s="14"/>
      <c r="AA18" s="24"/>
      <c r="AB18" s="24"/>
      <c r="AC18" s="24"/>
      <c r="AD18" s="5">
        <v>200</v>
      </c>
      <c r="AE18" s="5">
        <f t="shared" si="4"/>
        <v>180</v>
      </c>
      <c r="AF18" s="5">
        <f t="shared" si="0"/>
        <v>40</v>
      </c>
      <c r="AG18" s="5">
        <f t="shared" si="1"/>
        <v>100</v>
      </c>
      <c r="AH18" s="5">
        <f t="shared" si="2"/>
        <v>50</v>
      </c>
      <c r="AI18" s="5">
        <f t="shared" si="5"/>
        <v>320</v>
      </c>
      <c r="AJ18" s="5">
        <f t="shared" si="3"/>
        <v>200</v>
      </c>
      <c r="AK18" s="5">
        <f t="shared" ref="AK18:AK26" si="8">AK17-2</f>
        <v>8</v>
      </c>
      <c r="AL18" s="5">
        <f t="shared" si="6"/>
        <v>2</v>
      </c>
      <c r="AM18" s="5">
        <f>AM17+0.25</f>
        <v>1.25</v>
      </c>
      <c r="AN18" s="5">
        <f>8+($AA$8/20)</f>
        <v>8</v>
      </c>
      <c r="AO18" s="5">
        <f t="shared" si="7"/>
        <v>2</v>
      </c>
      <c r="AP18" s="5">
        <f>AO16/8+1</f>
        <v>1.25</v>
      </c>
    </row>
    <row r="19" spans="2:42" ht="18.75" x14ac:dyDescent="0.3">
      <c r="B19" s="34" t="s">
        <v>31</v>
      </c>
      <c r="C19" s="21"/>
      <c r="D19" s="22"/>
      <c r="E19" s="21"/>
      <c r="F19" s="21"/>
      <c r="G19" s="21"/>
      <c r="I19" s="2"/>
      <c r="J19" s="2"/>
      <c r="K19" s="2"/>
      <c r="O19" s="1"/>
      <c r="P19" s="2"/>
      <c r="Q19" s="2"/>
      <c r="R19" s="2"/>
      <c r="V19" s="33"/>
      <c r="W19" s="5"/>
      <c r="X19" s="5" t="str">
        <f>IF(V19&lt;&gt;"",IF(V19=(AK12),"GOED","FOUT"),"")</f>
        <v/>
      </c>
      <c r="AA19" s="43"/>
      <c r="AB19" s="7" t="s">
        <v>30</v>
      </c>
      <c r="AC19" s="38" t="str">
        <f>IF(AA19&lt;&gt;"",IF(AA19=(AK12),"GOED","FOUT"),"")</f>
        <v/>
      </c>
      <c r="AD19" s="5">
        <v>300</v>
      </c>
      <c r="AE19" s="5">
        <f t="shared" si="4"/>
        <v>240</v>
      </c>
      <c r="AF19" s="5">
        <f t="shared" si="0"/>
        <v>40</v>
      </c>
      <c r="AG19" s="5">
        <f t="shared" si="1"/>
        <v>100</v>
      </c>
      <c r="AH19" s="5">
        <f t="shared" si="2"/>
        <v>75</v>
      </c>
      <c r="AI19" s="5">
        <f t="shared" si="5"/>
        <v>380</v>
      </c>
      <c r="AJ19" s="5">
        <f t="shared" si="3"/>
        <v>300</v>
      </c>
      <c r="AK19" s="5">
        <f t="shared" si="8"/>
        <v>6</v>
      </c>
      <c r="AL19" s="5">
        <f t="shared" si="6"/>
        <v>2</v>
      </c>
      <c r="AM19" s="5">
        <f t="shared" ref="AM19:AM26" si="9">AM18+0.25</f>
        <v>1.5</v>
      </c>
      <c r="AN19" s="5">
        <f>7+($AA$8/20)-1</f>
        <v>6</v>
      </c>
      <c r="AO19" s="5">
        <f t="shared" si="7"/>
        <v>2</v>
      </c>
      <c r="AP19" s="5">
        <f>AO16/8+1.25</f>
        <v>1.5</v>
      </c>
    </row>
    <row r="20" spans="2:42" ht="18.75" x14ac:dyDescent="0.3">
      <c r="B20" s="36" t="str">
        <f>IF(AND($AA$19&lt;&gt;"",AA8&lt;&gt;"",AA13&lt;&gt;"",AC13="Goed",AC8="Goed"),IF($AA$19=($AK$12),"Tegelijkertijd met de stijging van de inflatie, stijgt de verwachte inflatie. Bij aflopende contracten wordt hier rekening mee gehouden.",""),"")</f>
        <v/>
      </c>
      <c r="M20" s="11"/>
      <c r="O20" s="31"/>
      <c r="Q20" s="14"/>
      <c r="AA20" s="24"/>
      <c r="AB20" s="24"/>
      <c r="AC20" s="24"/>
      <c r="AD20" s="5">
        <v>400</v>
      </c>
      <c r="AE20" s="5">
        <f t="shared" si="4"/>
        <v>300</v>
      </c>
      <c r="AF20" s="5">
        <f t="shared" si="0"/>
        <v>40</v>
      </c>
      <c r="AG20" s="5">
        <f t="shared" si="1"/>
        <v>100</v>
      </c>
      <c r="AH20" s="5">
        <f t="shared" si="2"/>
        <v>100</v>
      </c>
      <c r="AI20" s="5">
        <f t="shared" si="5"/>
        <v>440</v>
      </c>
      <c r="AJ20" s="5">
        <f t="shared" si="3"/>
        <v>400</v>
      </c>
      <c r="AK20" s="5">
        <f t="shared" si="8"/>
        <v>4</v>
      </c>
      <c r="AL20" s="5">
        <f t="shared" si="6"/>
        <v>2</v>
      </c>
      <c r="AM20" s="5">
        <f t="shared" si="9"/>
        <v>1.75</v>
      </c>
      <c r="AN20" s="5">
        <f>6+($AA$8/20)-2</f>
        <v>4</v>
      </c>
      <c r="AO20" s="5">
        <f t="shared" si="7"/>
        <v>2</v>
      </c>
      <c r="AP20" s="5">
        <f>AO16/8+1.5</f>
        <v>1.75</v>
      </c>
    </row>
    <row r="21" spans="2:42" ht="18.75" x14ac:dyDescent="0.3">
      <c r="B21" s="36" t="str">
        <f>IF(AND($AA$19&lt;&gt;"",AA8&lt;&gt;"",AA13&lt;&gt;"",AC13="Goed",AC8="Goed"),IF($AA$19=($AK$12),"Dit zorgt voor hogere inkoopprijzen en hogere lonen. Hierdoor stijgen de reële kosten, de reële winstmarge neemt af en de productie daalt.",""),"")</f>
        <v/>
      </c>
      <c r="C21" s="5"/>
      <c r="D21" s="5"/>
      <c r="E21" s="5"/>
      <c r="F21" s="5"/>
      <c r="G21" s="5"/>
      <c r="H21" s="5"/>
      <c r="I21" s="5"/>
      <c r="M21" s="11"/>
      <c r="O21" s="31"/>
      <c r="Q21" s="14"/>
      <c r="AA21" s="24"/>
      <c r="AB21" s="24"/>
      <c r="AC21" s="24"/>
      <c r="AD21" s="5">
        <v>500</v>
      </c>
      <c r="AE21" s="5">
        <f t="shared" si="4"/>
        <v>360</v>
      </c>
      <c r="AF21" s="5">
        <f t="shared" si="0"/>
        <v>40</v>
      </c>
      <c r="AG21" s="5">
        <f t="shared" si="1"/>
        <v>100</v>
      </c>
      <c r="AH21" s="5">
        <f t="shared" si="2"/>
        <v>125</v>
      </c>
      <c r="AI21" s="5">
        <f t="shared" si="5"/>
        <v>500</v>
      </c>
      <c r="AJ21" s="5">
        <f t="shared" si="3"/>
        <v>500</v>
      </c>
      <c r="AK21" s="5">
        <f t="shared" si="8"/>
        <v>2</v>
      </c>
      <c r="AL21" s="5">
        <f t="shared" si="6"/>
        <v>2</v>
      </c>
      <c r="AM21" s="5">
        <f t="shared" si="9"/>
        <v>2</v>
      </c>
      <c r="AN21" s="5">
        <f>5+($AA$8/20)-3</f>
        <v>2</v>
      </c>
      <c r="AO21" s="5">
        <f t="shared" si="7"/>
        <v>2</v>
      </c>
      <c r="AP21" s="5">
        <f>AO16/8+1.75</f>
        <v>2</v>
      </c>
    </row>
    <row r="22" spans="2:42" ht="18.75" x14ac:dyDescent="0.3">
      <c r="B22" s="36" t="str">
        <f>IF(AND($AA$19&lt;&gt;"",AA8&lt;&gt;"",AA13&lt;&gt;"",AC13="Goed",AC8="Goed"),IF($AA$19=($AK$12),"Dus bij de nieuwe hogere inflatie wordt er minder aangeboden; de GA-lijn verschuift naar links.",""),"")</f>
        <v/>
      </c>
      <c r="C22" s="5"/>
      <c r="D22" s="5"/>
      <c r="E22" s="5"/>
      <c r="F22" s="5"/>
      <c r="G22" s="5"/>
      <c r="H22" s="5"/>
      <c r="I22" s="5"/>
      <c r="M22" s="11"/>
      <c r="O22" s="31"/>
      <c r="Q22" s="14"/>
      <c r="AA22" s="24"/>
      <c r="AB22" s="24"/>
      <c r="AC22" s="24"/>
      <c r="AD22" s="5">
        <v>600</v>
      </c>
      <c r="AE22" s="5">
        <f t="shared" si="4"/>
        <v>420</v>
      </c>
      <c r="AF22" s="5">
        <f t="shared" si="0"/>
        <v>40</v>
      </c>
      <c r="AG22" s="5">
        <f t="shared" si="1"/>
        <v>100</v>
      </c>
      <c r="AH22" s="5">
        <f t="shared" si="2"/>
        <v>150</v>
      </c>
      <c r="AI22" s="5">
        <f t="shared" si="5"/>
        <v>560</v>
      </c>
      <c r="AJ22" s="5">
        <f t="shared" si="3"/>
        <v>600</v>
      </c>
      <c r="AK22" s="5">
        <f t="shared" si="8"/>
        <v>0</v>
      </c>
      <c r="AL22" s="5">
        <f t="shared" si="6"/>
        <v>2</v>
      </c>
      <c r="AM22" s="5">
        <f t="shared" si="9"/>
        <v>2.25</v>
      </c>
      <c r="AN22" s="5">
        <f>4+($AA$8/20)-4</f>
        <v>0</v>
      </c>
      <c r="AO22" s="5">
        <f t="shared" si="7"/>
        <v>2</v>
      </c>
      <c r="AP22" s="5">
        <f>AO16/8+2</f>
        <v>2.25</v>
      </c>
    </row>
    <row r="23" spans="2:42" ht="18.75" x14ac:dyDescent="0.3">
      <c r="B23" s="36" t="str">
        <f>IF(AND($AA$19&lt;&gt;"",AA8&lt;&gt;"",AA13&lt;&gt;"",AC13="Goed",AC8="Goed"),IF($AA$19=($AK$12),"De CB verhoogt tegelijkertijd ook haar inflatieverwachting. De MB-lijn verschuift naar boven.",""),"")</f>
        <v/>
      </c>
      <c r="C23" s="5"/>
      <c r="D23" s="5"/>
      <c r="E23" s="5"/>
      <c r="F23" s="5"/>
      <c r="G23" s="5"/>
      <c r="H23" s="5"/>
      <c r="I23" s="5"/>
      <c r="M23" s="11"/>
      <c r="O23" s="32"/>
      <c r="Q23" s="14"/>
      <c r="AA23" s="24"/>
      <c r="AB23" s="24"/>
      <c r="AC23" s="24"/>
      <c r="AD23" s="5">
        <v>700</v>
      </c>
      <c r="AE23" s="5">
        <f t="shared" si="4"/>
        <v>480</v>
      </c>
      <c r="AF23" s="5">
        <f t="shared" si="0"/>
        <v>40</v>
      </c>
      <c r="AG23" s="5">
        <f t="shared" si="1"/>
        <v>100</v>
      </c>
      <c r="AH23" s="5">
        <f t="shared" si="2"/>
        <v>175</v>
      </c>
      <c r="AI23" s="5">
        <f t="shared" si="5"/>
        <v>620</v>
      </c>
      <c r="AJ23" s="5">
        <f t="shared" si="3"/>
        <v>700</v>
      </c>
      <c r="AK23" s="5">
        <f t="shared" si="8"/>
        <v>-2</v>
      </c>
      <c r="AL23" s="5">
        <f t="shared" si="6"/>
        <v>2</v>
      </c>
      <c r="AM23" s="5">
        <f t="shared" si="9"/>
        <v>2.5</v>
      </c>
      <c r="AN23" s="5">
        <f>3+($AA$8/20)-5</f>
        <v>-2</v>
      </c>
      <c r="AO23" s="5">
        <f t="shared" si="7"/>
        <v>2</v>
      </c>
      <c r="AP23" s="5">
        <f>AO16/8+2.25</f>
        <v>2.5</v>
      </c>
    </row>
    <row r="24" spans="2:42" ht="15.75" x14ac:dyDescent="0.25">
      <c r="B24" s="35" t="s">
        <v>10</v>
      </c>
      <c r="C24" s="5"/>
      <c r="D24" s="5"/>
      <c r="E24" s="5"/>
      <c r="F24" s="5"/>
      <c r="G24" s="5"/>
      <c r="H24" s="5"/>
      <c r="I24" s="5"/>
      <c r="J24" s="13"/>
      <c r="AA24" s="24"/>
      <c r="AB24" s="24"/>
      <c r="AC24" s="24"/>
      <c r="AD24" s="5">
        <v>800</v>
      </c>
      <c r="AE24" s="5">
        <f t="shared" si="4"/>
        <v>540</v>
      </c>
      <c r="AF24" s="5">
        <f t="shared" si="0"/>
        <v>40</v>
      </c>
      <c r="AG24" s="5">
        <f t="shared" si="1"/>
        <v>100</v>
      </c>
      <c r="AH24" s="5">
        <f t="shared" si="2"/>
        <v>200</v>
      </c>
      <c r="AI24" s="5">
        <f t="shared" si="5"/>
        <v>680</v>
      </c>
      <c r="AJ24" s="5">
        <f t="shared" si="3"/>
        <v>800</v>
      </c>
      <c r="AK24" s="5">
        <f t="shared" si="8"/>
        <v>-4</v>
      </c>
      <c r="AL24" s="5">
        <f t="shared" si="6"/>
        <v>2</v>
      </c>
      <c r="AM24" s="5">
        <f t="shared" si="9"/>
        <v>2.75</v>
      </c>
      <c r="AN24" s="5">
        <f>2+($AA$8/20)-6</f>
        <v>-4</v>
      </c>
      <c r="AO24" s="5">
        <f t="shared" si="7"/>
        <v>2</v>
      </c>
      <c r="AP24" s="5">
        <f>AO16/8+2.5</f>
        <v>2.75</v>
      </c>
    </row>
    <row r="25" spans="2:42" ht="18.75" x14ac:dyDescent="0.3">
      <c r="B25" s="34" t="s">
        <v>45</v>
      </c>
      <c r="C25" s="21"/>
      <c r="D25" s="22"/>
      <c r="E25" s="21"/>
      <c r="F25" s="21"/>
      <c r="G25" s="21"/>
      <c r="I25" s="2"/>
      <c r="J25" s="2"/>
      <c r="K25" s="2"/>
      <c r="O25" s="1"/>
      <c r="P25" s="2"/>
      <c r="Q25" s="2"/>
      <c r="R25" s="2"/>
      <c r="V25" s="33"/>
      <c r="W25" s="5"/>
      <c r="X25" s="5"/>
      <c r="AA25" s="43"/>
      <c r="AB25" s="7" t="s">
        <v>30</v>
      </c>
      <c r="AC25" s="38" t="str">
        <f>IF(AA25&lt;&gt;"",IF(AK9=(500),"GOED","FOUT"),"")</f>
        <v/>
      </c>
      <c r="AD25" s="5">
        <v>900</v>
      </c>
      <c r="AE25" s="5">
        <f t="shared" si="4"/>
        <v>600</v>
      </c>
      <c r="AF25" s="5">
        <f t="shared" si="0"/>
        <v>40</v>
      </c>
      <c r="AG25" s="5">
        <f t="shared" si="1"/>
        <v>100</v>
      </c>
      <c r="AH25" s="5">
        <f t="shared" si="2"/>
        <v>225</v>
      </c>
      <c r="AI25" s="5">
        <f t="shared" si="5"/>
        <v>740</v>
      </c>
      <c r="AJ25" s="5">
        <f t="shared" si="3"/>
        <v>900</v>
      </c>
      <c r="AK25" s="5">
        <f t="shared" si="8"/>
        <v>-6</v>
      </c>
      <c r="AL25" s="5">
        <f t="shared" si="6"/>
        <v>2</v>
      </c>
      <c r="AM25" s="5">
        <f t="shared" si="9"/>
        <v>3</v>
      </c>
      <c r="AN25" s="5">
        <f>1+($AA$8/20)-7</f>
        <v>-6</v>
      </c>
      <c r="AO25" s="5">
        <f t="shared" si="7"/>
        <v>2</v>
      </c>
      <c r="AP25" s="5">
        <f>AO16/8+2.75</f>
        <v>3</v>
      </c>
    </row>
    <row r="26" spans="2:42" ht="15.75" x14ac:dyDescent="0.25">
      <c r="B26" s="36" t="str">
        <f>IF(AND($AA$25&lt;&gt;"",AA8&lt;&gt;"",AA13&lt;&gt;"",AA19&lt;&gt;"",AC13="Goed",AC19="Goed",AC8="Goed"),IF($AK$9=(500),"De economie bevindt zich weer op het lange termijngroeipad.",""),"")</f>
        <v/>
      </c>
      <c r="AD26" s="5">
        <v>1000</v>
      </c>
      <c r="AE26" s="5">
        <f t="shared" si="4"/>
        <v>660</v>
      </c>
      <c r="AF26" s="5">
        <f t="shared" si="0"/>
        <v>40</v>
      </c>
      <c r="AG26" s="5">
        <f t="shared" si="1"/>
        <v>100</v>
      </c>
      <c r="AH26" s="5">
        <f t="shared" si="2"/>
        <v>250</v>
      </c>
      <c r="AI26" s="5">
        <f t="shared" si="5"/>
        <v>800</v>
      </c>
      <c r="AJ26" s="5">
        <f t="shared" si="3"/>
        <v>1000</v>
      </c>
      <c r="AK26" s="5">
        <f t="shared" si="8"/>
        <v>-8</v>
      </c>
      <c r="AL26" s="5">
        <f t="shared" si="6"/>
        <v>2</v>
      </c>
      <c r="AM26" s="5">
        <f t="shared" si="9"/>
        <v>3.25</v>
      </c>
      <c r="AN26" s="5">
        <f>0+($AA$8/20)-8</f>
        <v>-8</v>
      </c>
      <c r="AO26" s="5">
        <f t="shared" si="7"/>
        <v>2</v>
      </c>
      <c r="AP26" s="5">
        <f>AO16/8+3</f>
        <v>3.25</v>
      </c>
    </row>
    <row r="27" spans="2:42" ht="15.75" x14ac:dyDescent="0.25">
      <c r="B27" s="36" t="str">
        <f>IF(AND($AA$25&lt;&gt;"",AA8&lt;&gt;"",AA13&lt;&gt;"",AA19&lt;&gt;"",AC13="Goed",AC19="Goed",AC8="Goed"),IF($AK$9=(500),"Echter zijn door de bestedingen van de overheid en het monetaire beleid van de CB de rente en de inflatie gestegen.",""),"")</f>
        <v/>
      </c>
      <c r="T27" s="12"/>
    </row>
    <row r="28" spans="2:42" x14ac:dyDescent="0.25">
      <c r="T28" s="5"/>
      <c r="AD28" s="5"/>
      <c r="AE28" s="5" t="s">
        <v>27</v>
      </c>
      <c r="AG28" s="5">
        <f>AL9-500</f>
        <v>0</v>
      </c>
      <c r="AI28" s="5"/>
    </row>
    <row r="29" spans="2:42" x14ac:dyDescent="0.25">
      <c r="B29" s="15" t="s">
        <v>1</v>
      </c>
      <c r="C29" s="13"/>
      <c r="T29" s="5"/>
      <c r="U29" s="5"/>
      <c r="Y29" s="46" t="s">
        <v>46</v>
      </c>
      <c r="Z29" s="45"/>
    </row>
    <row r="30" spans="2:42" x14ac:dyDescent="0.25">
      <c r="T30" s="5"/>
      <c r="U30" s="5"/>
      <c r="AD30" s="5"/>
    </row>
    <row r="31" spans="2:42" x14ac:dyDescent="0.25">
      <c r="T31" s="5"/>
      <c r="AD31" s="5"/>
    </row>
    <row r="32" spans="2:42" x14ac:dyDescent="0.25">
      <c r="T32" s="5"/>
    </row>
    <row r="33" spans="20:20" x14ac:dyDescent="0.25">
      <c r="T33" s="5"/>
    </row>
    <row r="34" spans="20:20" x14ac:dyDescent="0.25">
      <c r="T34" s="5"/>
    </row>
    <row r="35" spans="20:20" x14ac:dyDescent="0.25">
      <c r="T35" s="5"/>
    </row>
    <row r="36" spans="20:20" x14ac:dyDescent="0.25">
      <c r="T36" s="5"/>
    </row>
    <row r="37" spans="20:20" x14ac:dyDescent="0.25">
      <c r="T37" s="5"/>
    </row>
    <row r="38" spans="20:20" x14ac:dyDescent="0.25">
      <c r="T38" s="5"/>
    </row>
  </sheetData>
  <sheetProtection algorithmName="SHA-512" hashValue="Gr6cYNkMfGp/W0KoyBcohy6fQbfaOFfQnHxLXKj+oiiSUir6nYw4Ews8HLMUzkezF9c3WFHj8MSinu2nfCvzSQ==" saltValue="X+M9JE2pBAk8yzvidnjG+w==" spinCount="100000" sheet="1" objects="1" scenarios="1"/>
  <hyperlinks>
    <hyperlink ref="B29" r:id="rId1" xr:uid="{8BBEE5A3-3BD4-42FC-B599-5A39FC4D1E60}"/>
    <hyperlink ref="Y29:Z29" location="Overheidsbezuiniging!A1" display="Volgende oefening" xr:uid="{3D709CBD-072B-49C7-936D-2EFC9705F69B}"/>
    <hyperlink ref="Y29" location="Inhoud!A1" display="Terug" xr:uid="{515FC787-ADD5-4055-A740-F93FCBC72783}"/>
  </hyperlinks>
  <pageMargins left="0.7" right="0.7" top="0.75" bottom="0.75" header="0.3" footer="0.3"/>
  <pageSetup paperSize="9" orientation="portrait"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Inhoud</vt:lpstr>
      <vt:lpstr>Overheidsbezuiniging</vt:lpstr>
      <vt:lpstr>Overheidsbesteding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2024-02-12T23:07:56Z</dcterms:modified>
</cp:coreProperties>
</file>