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55A65EF7-9AFF-462E-97A5-DB98E6449E2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houd" sheetId="5" r:id="rId1"/>
    <sheet name="Blad1" sheetId="1" r:id="rId2"/>
    <sheet name="Blad2" sheetId="3" r:id="rId3"/>
    <sheet name="Blad3" sheetId="4" r:id="rId4"/>
  </sheets>
  <calcPr calcId="191029"/>
</workbook>
</file>

<file path=xl/calcChain.xml><?xml version="1.0" encoding="utf-8"?>
<calcChain xmlns="http://schemas.openxmlformats.org/spreadsheetml/2006/main">
  <c r="AL21" i="4" l="1"/>
  <c r="AL20" i="4"/>
  <c r="AL29" i="4" s="1"/>
  <c r="AL25" i="4" s="1"/>
  <c r="Y28" i="4"/>
  <c r="Y27" i="4"/>
  <c r="Y26" i="4"/>
  <c r="Y25" i="4"/>
  <c r="Y24" i="4"/>
  <c r="Y23" i="4"/>
  <c r="Y22" i="4"/>
  <c r="Y21" i="4"/>
  <c r="Y20" i="4"/>
  <c r="Y19" i="4"/>
  <c r="Y18" i="4"/>
  <c r="X28" i="4"/>
  <c r="X27" i="4"/>
  <c r="X26" i="4"/>
  <c r="X25" i="4"/>
  <c r="X24" i="4"/>
  <c r="X23" i="4"/>
  <c r="X22" i="4"/>
  <c r="X21" i="4"/>
  <c r="X20" i="4"/>
  <c r="X19" i="4"/>
  <c r="X18" i="4"/>
  <c r="AA28" i="4"/>
  <c r="W28" i="4"/>
  <c r="V28" i="4"/>
  <c r="U28" i="4"/>
  <c r="T28" i="4"/>
  <c r="AA27" i="4"/>
  <c r="W27" i="4"/>
  <c r="V27" i="4"/>
  <c r="U27" i="4"/>
  <c r="T27" i="4"/>
  <c r="AA26" i="4"/>
  <c r="W26" i="4"/>
  <c r="V26" i="4"/>
  <c r="U26" i="4"/>
  <c r="T26" i="4"/>
  <c r="P26" i="4"/>
  <c r="AA25" i="4"/>
  <c r="W25" i="4"/>
  <c r="V25" i="4"/>
  <c r="U25" i="4"/>
  <c r="T25" i="4"/>
  <c r="P25" i="4"/>
  <c r="AE24" i="4"/>
  <c r="AA24" i="4"/>
  <c r="W24" i="4"/>
  <c r="V24" i="4"/>
  <c r="U24" i="4"/>
  <c r="T24" i="4"/>
  <c r="P24" i="4"/>
  <c r="AE23" i="4"/>
  <c r="AA23" i="4"/>
  <c r="W23" i="4"/>
  <c r="V23" i="4"/>
  <c r="U23" i="4"/>
  <c r="T23" i="4"/>
  <c r="P23" i="4"/>
  <c r="AE22" i="4"/>
  <c r="AA22" i="4"/>
  <c r="W22" i="4"/>
  <c r="V22" i="4"/>
  <c r="U22" i="4"/>
  <c r="T22" i="4"/>
  <c r="P22" i="4"/>
  <c r="AE21" i="4"/>
  <c r="AA21" i="4"/>
  <c r="W21" i="4"/>
  <c r="V21" i="4"/>
  <c r="U21" i="4"/>
  <c r="T21" i="4"/>
  <c r="P21" i="4"/>
  <c r="AE20" i="4"/>
  <c r="AA20" i="4"/>
  <c r="W20" i="4"/>
  <c r="V20" i="4"/>
  <c r="U20" i="4"/>
  <c r="T20" i="4"/>
  <c r="P20" i="4"/>
  <c r="AE19" i="4"/>
  <c r="AA19" i="4"/>
  <c r="W19" i="4"/>
  <c r="V19" i="4"/>
  <c r="U19" i="4"/>
  <c r="T19" i="4"/>
  <c r="P19" i="4"/>
  <c r="AL18" i="4"/>
  <c r="AE18" i="4"/>
  <c r="AA18" i="4"/>
  <c r="W18" i="4"/>
  <c r="V18" i="4"/>
  <c r="U18" i="4"/>
  <c r="T18" i="4"/>
  <c r="AE17" i="4"/>
  <c r="P17" i="4"/>
  <c r="AE16" i="4"/>
  <c r="AE15" i="4"/>
  <c r="N10" i="4"/>
  <c r="H15" i="4" l="1"/>
  <c r="H16" i="4"/>
  <c r="Z20" i="4"/>
  <c r="Z23" i="4"/>
  <c r="Z25" i="4"/>
  <c r="Z26" i="4"/>
  <c r="Z28" i="4"/>
  <c r="Z19" i="4"/>
  <c r="Z21" i="4"/>
  <c r="Z27" i="4"/>
  <c r="Z18" i="4"/>
  <c r="Z22" i="4"/>
  <c r="Z24" i="4"/>
  <c r="K16" i="4"/>
  <c r="J16" i="4"/>
  <c r="AL19" i="4"/>
  <c r="P18" i="4" s="1"/>
  <c r="AL23" i="4"/>
  <c r="AL24" i="4" s="1"/>
  <c r="AM25" i="4" s="1"/>
  <c r="AL22" i="4"/>
  <c r="T26" i="3"/>
  <c r="T25" i="3"/>
  <c r="T24" i="3"/>
  <c r="T23" i="3"/>
  <c r="T22" i="3"/>
  <c r="T21" i="3"/>
  <c r="T20" i="3"/>
  <c r="T19" i="3"/>
  <c r="T18" i="3"/>
  <c r="T17" i="3"/>
  <c r="AJ19" i="3"/>
  <c r="AJ18" i="3"/>
  <c r="AJ27" i="3" s="1"/>
  <c r="AJ23" i="3" s="1"/>
  <c r="W26" i="3"/>
  <c r="W25" i="3"/>
  <c r="W24" i="3"/>
  <c r="W23" i="3"/>
  <c r="W22" i="3"/>
  <c r="W21" i="3"/>
  <c r="W20" i="3"/>
  <c r="W19" i="3"/>
  <c r="W18" i="3"/>
  <c r="W17" i="3"/>
  <c r="W16" i="3"/>
  <c r="V26" i="3"/>
  <c r="V25" i="3"/>
  <c r="V24" i="3"/>
  <c r="V23" i="3"/>
  <c r="V22" i="3"/>
  <c r="V21" i="3"/>
  <c r="V20" i="3"/>
  <c r="V19" i="3"/>
  <c r="V18" i="3"/>
  <c r="V17" i="3"/>
  <c r="V16" i="3"/>
  <c r="U16" i="3"/>
  <c r="P24" i="3"/>
  <c r="P23" i="3"/>
  <c r="AC22" i="3"/>
  <c r="Y26" i="3"/>
  <c r="U26" i="3"/>
  <c r="P22" i="3"/>
  <c r="AC21" i="3"/>
  <c r="Y25" i="3"/>
  <c r="U25" i="3"/>
  <c r="P21" i="3"/>
  <c r="AC20" i="3"/>
  <c r="Y24" i="3"/>
  <c r="U24" i="3"/>
  <c r="X24" i="3" s="1"/>
  <c r="P20" i="3"/>
  <c r="AC19" i="3"/>
  <c r="Y23" i="3"/>
  <c r="U23" i="3"/>
  <c r="P19" i="3"/>
  <c r="AC18" i="3"/>
  <c r="Y22" i="3"/>
  <c r="U22" i="3"/>
  <c r="P18" i="3"/>
  <c r="AC17" i="3"/>
  <c r="Y21" i="3"/>
  <c r="U21" i="3"/>
  <c r="P17" i="3"/>
  <c r="AJ16" i="3"/>
  <c r="AC16" i="3"/>
  <c r="Y20" i="3"/>
  <c r="U20" i="3"/>
  <c r="X20" i="3" s="1"/>
  <c r="P16" i="3"/>
  <c r="AC15" i="3"/>
  <c r="Y19" i="3"/>
  <c r="U19" i="3"/>
  <c r="X19" i="3" s="1"/>
  <c r="P15" i="3"/>
  <c r="AC14" i="3"/>
  <c r="Y18" i="3"/>
  <c r="U18" i="3"/>
  <c r="K14" i="3"/>
  <c r="J14" i="3"/>
  <c r="H14" i="3"/>
  <c r="AC13" i="3"/>
  <c r="Y17" i="3"/>
  <c r="U17" i="3"/>
  <c r="H13" i="3"/>
  <c r="Y16" i="3"/>
  <c r="T16" i="3"/>
  <c r="X16" i="3" s="1"/>
  <c r="N10" i="3"/>
  <c r="AL27" i="4" l="1"/>
  <c r="AL26" i="4"/>
  <c r="AM26" i="4" s="1"/>
  <c r="X17" i="3"/>
  <c r="X21" i="3"/>
  <c r="X23" i="3"/>
  <c r="X25" i="3"/>
  <c r="X18" i="3"/>
  <c r="X22" i="3"/>
  <c r="X26" i="3"/>
  <c r="AJ17" i="3"/>
  <c r="AJ21" i="3"/>
  <c r="AJ22" i="3" s="1"/>
  <c r="AK23" i="3" s="1"/>
  <c r="AJ20" i="3"/>
  <c r="P11" i="1"/>
  <c r="AJ25" i="3" l="1"/>
  <c r="AJ24" i="3"/>
  <c r="AK24" i="3" s="1"/>
  <c r="N8" i="1"/>
  <c r="T8" i="1" l="1"/>
  <c r="P15" i="1"/>
  <c r="AH15" i="1" l="1"/>
  <c r="P14" i="1" s="1"/>
  <c r="AH16" i="1"/>
  <c r="AH14" i="1"/>
  <c r="AH12" i="1"/>
  <c r="J10" i="1" l="1"/>
  <c r="K10" i="1"/>
  <c r="H10" i="1"/>
  <c r="H9" i="1"/>
  <c r="AH23" i="1"/>
  <c r="AH21" i="1"/>
  <c r="P20" i="1" s="1"/>
  <c r="P13" i="1"/>
  <c r="AH13" i="1"/>
  <c r="P12" i="1" s="1"/>
  <c r="AH17" i="1"/>
  <c r="AA18" i="1"/>
  <c r="AA17" i="1"/>
  <c r="AA16" i="1"/>
  <c r="AA15" i="1"/>
  <c r="AA14" i="1"/>
  <c r="AA13" i="1"/>
  <c r="AA12" i="1"/>
  <c r="AA11" i="1"/>
  <c r="AA10" i="1"/>
  <c r="AA9" i="1"/>
  <c r="U18" i="1"/>
  <c r="U17" i="1"/>
  <c r="U16" i="1"/>
  <c r="U15" i="1"/>
  <c r="U14" i="1"/>
  <c r="U13" i="1"/>
  <c r="U12" i="1"/>
  <c r="U11" i="1"/>
  <c r="U10" i="1"/>
  <c r="U9" i="1"/>
  <c r="U8" i="1"/>
  <c r="W18" i="1"/>
  <c r="W17" i="1"/>
  <c r="W16" i="1"/>
  <c r="W15" i="1"/>
  <c r="W14" i="1"/>
  <c r="W13" i="1"/>
  <c r="W12" i="1"/>
  <c r="W11" i="1"/>
  <c r="W10" i="1"/>
  <c r="W9" i="1"/>
  <c r="T18" i="1"/>
  <c r="V18" i="1" s="1"/>
  <c r="T17" i="1"/>
  <c r="V17" i="1" s="1"/>
  <c r="T16" i="1"/>
  <c r="V16" i="1" s="1"/>
  <c r="T15" i="1"/>
  <c r="V15" i="1" s="1"/>
  <c r="T14" i="1"/>
  <c r="V14" i="1" s="1"/>
  <c r="T13" i="1"/>
  <c r="V13" i="1" s="1"/>
  <c r="T12" i="1"/>
  <c r="V12" i="1" s="1"/>
  <c r="T11" i="1"/>
  <c r="V11" i="1" s="1"/>
  <c r="T10" i="1"/>
  <c r="V10" i="1" s="1"/>
  <c r="T9" i="1"/>
  <c r="V9" i="1" s="1"/>
  <c r="V8" i="1"/>
  <c r="X8" i="1"/>
  <c r="W8" i="1"/>
  <c r="AH20" i="1" l="1"/>
  <c r="AI20" i="1" s="1"/>
  <c r="P19" i="1" s="1"/>
  <c r="AH19" i="1"/>
  <c r="AH18" i="1"/>
  <c r="P17" i="1" s="1"/>
  <c r="P16" i="1"/>
  <c r="AI19" i="1" l="1"/>
  <c r="P18" i="1" s="1"/>
</calcChain>
</file>

<file path=xl/sharedStrings.xml><?xml version="1.0" encoding="utf-8"?>
<sst xmlns="http://schemas.openxmlformats.org/spreadsheetml/2006/main" count="175" uniqueCount="67">
  <si>
    <t>=</t>
  </si>
  <si>
    <t>+</t>
  </si>
  <si>
    <t>Vragen</t>
  </si>
  <si>
    <t>www.jdjong.nl</t>
  </si>
  <si>
    <t>Rond de antwoorden af op twee cijfers achter de komma</t>
  </si>
  <si>
    <t>Y</t>
  </si>
  <si>
    <t xml:space="preserve">I </t>
  </si>
  <si>
    <t xml:space="preserve">Y </t>
  </si>
  <si>
    <t xml:space="preserve">C </t>
  </si>
  <si>
    <t>I</t>
  </si>
  <si>
    <t>y</t>
  </si>
  <si>
    <t>C</t>
  </si>
  <si>
    <t>c</t>
  </si>
  <si>
    <t>y=ev</t>
  </si>
  <si>
    <t>Arbeidsaanbod</t>
  </si>
  <si>
    <t>Arbeidsproductiviteit</t>
  </si>
  <si>
    <t>vraag</t>
  </si>
  <si>
    <t>1. Marginale consumptiequote</t>
  </si>
  <si>
    <t>2. Gemiddelde consumptiequote</t>
  </si>
  <si>
    <t>3. Het evenwichtsinkomen</t>
  </si>
  <si>
    <t>5. Inkomen bij volledige werkgelegenheid</t>
  </si>
  <si>
    <t>4. De multiplier</t>
  </si>
  <si>
    <t>6. De arbeidsvraag</t>
  </si>
  <si>
    <t>7. De totale werkloosheid</t>
  </si>
  <si>
    <t>8. De conjuncturele werkloosheid</t>
  </si>
  <si>
    <t>9. De structurele werkloosheid</t>
  </si>
  <si>
    <r>
      <t>10. Toename C</t>
    </r>
    <r>
      <rPr>
        <i/>
        <vertAlign val="subscript"/>
        <sz val="14"/>
        <color theme="0"/>
        <rFont val="Calibri"/>
        <family val="2"/>
        <scheme val="minor"/>
      </rPr>
      <t>o</t>
    </r>
    <r>
      <rPr>
        <i/>
        <sz val="14"/>
        <color theme="0"/>
        <rFont val="Calibri"/>
        <family val="2"/>
        <scheme val="minor"/>
      </rPr>
      <t xml:space="preserve"> en/of I</t>
    </r>
    <r>
      <rPr>
        <i/>
        <vertAlign val="subscript"/>
        <sz val="14"/>
        <color theme="0"/>
        <rFont val="Calibri"/>
        <family val="2"/>
        <scheme val="minor"/>
      </rPr>
      <t>o</t>
    </r>
    <r>
      <rPr>
        <i/>
        <sz val="14"/>
        <color theme="0"/>
        <rFont val="Calibri"/>
        <family val="2"/>
        <scheme val="minor"/>
      </rPr>
      <t xml:space="preserve"> om werkloosheid</t>
    </r>
  </si>
  <si>
    <t xml:space="preserve">       op te lossen</t>
  </si>
  <si>
    <t>Het eenvoudig Keynesiaans model</t>
  </si>
  <si>
    <t>2. Gemiddelde consumptiequote bij het evenwichtsinkomen</t>
  </si>
  <si>
    <t xml:space="preserve">   </t>
  </si>
  <si>
    <r>
      <t>10. Toename C</t>
    </r>
    <r>
      <rPr>
        <i/>
        <vertAlign val="subscript"/>
        <sz val="14"/>
        <color theme="0"/>
        <rFont val="Calibri"/>
        <family val="2"/>
        <scheme val="minor"/>
      </rPr>
      <t>o</t>
    </r>
    <r>
      <rPr>
        <i/>
        <sz val="14"/>
        <color theme="0"/>
        <rFont val="Calibri"/>
        <family val="2"/>
        <scheme val="minor"/>
      </rPr>
      <t xml:space="preserve"> en/of I</t>
    </r>
    <r>
      <rPr>
        <i/>
        <vertAlign val="subscript"/>
        <sz val="14"/>
        <color theme="0"/>
        <rFont val="Calibri"/>
        <family val="2"/>
        <scheme val="minor"/>
      </rPr>
      <t>o</t>
    </r>
    <r>
      <rPr>
        <i/>
        <sz val="14"/>
        <color theme="0"/>
        <rFont val="Calibri"/>
        <family val="2"/>
        <scheme val="minor"/>
      </rPr>
      <t xml:space="preserve"> om werkloosheid op te lossen</t>
    </r>
  </si>
  <si>
    <t>Productiecapaciteit</t>
  </si>
  <si>
    <t>6. De arbeidsvraag bij het evenwichtsinkomen</t>
  </si>
  <si>
    <t>7. De totale werkloosheid bij het evenwichtsinkomen</t>
  </si>
  <si>
    <t xml:space="preserve">8. De conjuncturele werkloosheid </t>
  </si>
  <si>
    <t xml:space="preserve">Hieronder staan de vergelijkingen van een eenvoudig Keynesiaans model en de grafische weergave van dit model weergegeven . </t>
  </si>
  <si>
    <t>Blijf wel binnen de kaders van de grafieken.</t>
  </si>
  <si>
    <t>Y=cY+Co+Io</t>
  </si>
  <si>
    <t>(Y-B)</t>
  </si>
  <si>
    <t>B</t>
  </si>
  <si>
    <t>O</t>
  </si>
  <si>
    <t>C  +</t>
  </si>
  <si>
    <t>I + O</t>
  </si>
  <si>
    <r>
      <t>10. Toename C</t>
    </r>
    <r>
      <rPr>
        <i/>
        <vertAlign val="subscript"/>
        <sz val="14"/>
        <color theme="0"/>
        <rFont val="Calibri"/>
        <family val="2"/>
        <scheme val="minor"/>
      </rPr>
      <t xml:space="preserve">o </t>
    </r>
    <r>
      <rPr>
        <i/>
        <sz val="14"/>
        <color theme="0"/>
        <rFont val="Calibri"/>
        <family val="2"/>
        <scheme val="minor"/>
      </rPr>
      <t>/ I</t>
    </r>
    <r>
      <rPr>
        <i/>
        <vertAlign val="subscript"/>
        <sz val="14"/>
        <color theme="0"/>
        <rFont val="Calibri"/>
        <family val="2"/>
        <scheme val="minor"/>
      </rPr>
      <t xml:space="preserve">o </t>
    </r>
    <r>
      <rPr>
        <i/>
        <sz val="14"/>
        <color theme="0"/>
        <rFont val="Calibri"/>
        <family val="2"/>
        <scheme val="minor"/>
      </rPr>
      <t>/ O</t>
    </r>
    <r>
      <rPr>
        <i/>
        <vertAlign val="subscript"/>
        <sz val="14"/>
        <color theme="0"/>
        <rFont val="Calibri"/>
        <family val="2"/>
        <scheme val="minor"/>
      </rPr>
      <t xml:space="preserve">o </t>
    </r>
    <r>
      <rPr>
        <i/>
        <sz val="14"/>
        <color theme="0"/>
        <rFont val="Calibri"/>
        <family val="2"/>
        <scheme val="minor"/>
      </rPr>
      <t>om werkloosheid</t>
    </r>
  </si>
  <si>
    <t>Het gesloten Keynesiaans model met overheid</t>
  </si>
  <si>
    <t>de arbeidsproductiviteit en de productiecapaciteit voor een andere som.</t>
  </si>
  <si>
    <t>Beantwoord onderstaande vragen en verander daarna eventueel de consumptiefunctie, de investeringsfunctie, de belastingfunctie, overheidsbestedingen,</t>
  </si>
  <si>
    <t>Beantwoord onderstaande vragen en verander daarna eventueel de consumptiefunctie, de investeringsfunctie, de arbeidsproductiviteit en de productiecapaciteit voor een andere som.</t>
  </si>
  <si>
    <t xml:space="preserve">Hieronder staan de vergelijkingen van een gesloten Keynesiaans model met overheid en de grafische weergave van dit model weergegeven . </t>
  </si>
  <si>
    <t>Het Keynesiaans model met overheid en buitenland</t>
  </si>
  <si>
    <t xml:space="preserve">Hieronder staan de vergelijkingen van een Keynesiaans model met overheid en buitenland en de grafische weergave van dit model weergegeven . </t>
  </si>
  <si>
    <t>Beantwoord onderstaande vragen en verander daarna eventueel de consumptiefunctie, de investeringsfunctie, de belastingfunctie, overheidsbestedingen, de importfunctie, de export,</t>
  </si>
  <si>
    <t>Arbeidsvraag, arbeidsaanbod en werkloosheid zijn in miljoenen arbeidsjaren. (Autonome) consumptie, (autonome) investeringen, (autonome) overheidsbestedingen,</t>
  </si>
  <si>
    <t xml:space="preserve">Arbeidsvraag, arbeidsaanbod en werkloosheid zijn in miljoenen arbeidsjaren. (Autonome) consumptie, (autonome) investeringen, (autonome) overheidsbestedingen, </t>
  </si>
  <si>
    <t>inkomen en productiecapaciteit zijn in miljarden euro's.</t>
  </si>
  <si>
    <t>Arbeidsvraag, arbeidsaanbod en werkloosheid zijn in miljoenen arbeidsjaren. (Autonome) consumptie, (autonome) investeringen, inkomen en productiecapaciteit zijn in miljarden euro's.</t>
  </si>
  <si>
    <t>M</t>
  </si>
  <si>
    <t>E</t>
  </si>
  <si>
    <t>Y=c(Y-B)+Co+Io+Eo-M</t>
  </si>
  <si>
    <t>I + O +</t>
  </si>
  <si>
    <t>E - M</t>
  </si>
  <si>
    <r>
      <t>10. Toename C</t>
    </r>
    <r>
      <rPr>
        <i/>
        <vertAlign val="subscript"/>
        <sz val="14"/>
        <color theme="0"/>
        <rFont val="Calibri"/>
        <family val="2"/>
        <scheme val="minor"/>
      </rPr>
      <t xml:space="preserve">o </t>
    </r>
    <r>
      <rPr>
        <i/>
        <sz val="14"/>
        <color theme="0"/>
        <rFont val="Calibri"/>
        <family val="2"/>
        <scheme val="minor"/>
      </rPr>
      <t>/ I</t>
    </r>
    <r>
      <rPr>
        <i/>
        <vertAlign val="subscript"/>
        <sz val="14"/>
        <color theme="0"/>
        <rFont val="Calibri"/>
        <family val="2"/>
        <scheme val="minor"/>
      </rPr>
      <t xml:space="preserve">o </t>
    </r>
    <r>
      <rPr>
        <i/>
        <sz val="14"/>
        <color theme="0"/>
        <rFont val="Calibri"/>
        <family val="2"/>
        <scheme val="minor"/>
      </rPr>
      <t>/ O</t>
    </r>
    <r>
      <rPr>
        <i/>
        <vertAlign val="subscript"/>
        <sz val="14"/>
        <color theme="0"/>
        <rFont val="Calibri"/>
        <family val="2"/>
        <scheme val="minor"/>
      </rPr>
      <t>o</t>
    </r>
    <r>
      <rPr>
        <i/>
        <sz val="14"/>
        <color theme="0"/>
        <rFont val="Calibri"/>
        <family val="2"/>
        <scheme val="minor"/>
      </rPr>
      <t>/ E</t>
    </r>
    <r>
      <rPr>
        <i/>
        <vertAlign val="subscript"/>
        <sz val="14"/>
        <color theme="0"/>
        <rFont val="Calibri"/>
        <family val="2"/>
        <scheme val="minor"/>
      </rPr>
      <t xml:space="preserve">o </t>
    </r>
    <r>
      <rPr>
        <i/>
        <sz val="14"/>
        <color theme="0"/>
        <rFont val="Calibri"/>
        <family val="2"/>
        <scheme val="minor"/>
      </rPr>
      <t xml:space="preserve">om </t>
    </r>
  </si>
  <si>
    <t xml:space="preserve">       werkloosheid op te lossen</t>
  </si>
  <si>
    <r>
      <t>10. Toename C</t>
    </r>
    <r>
      <rPr>
        <i/>
        <vertAlign val="subscript"/>
        <sz val="14"/>
        <color theme="0"/>
        <rFont val="Calibri"/>
        <family val="2"/>
        <scheme val="minor"/>
      </rPr>
      <t>o</t>
    </r>
    <r>
      <rPr>
        <i/>
        <sz val="14"/>
        <color theme="0"/>
        <rFont val="Calibri"/>
        <family val="2"/>
        <scheme val="minor"/>
      </rPr>
      <t xml:space="preserve"> / I</t>
    </r>
    <r>
      <rPr>
        <i/>
        <vertAlign val="subscript"/>
        <sz val="14"/>
        <color theme="0"/>
        <rFont val="Calibri"/>
        <family val="2"/>
        <scheme val="minor"/>
      </rPr>
      <t>o</t>
    </r>
    <r>
      <rPr>
        <i/>
        <sz val="14"/>
        <color theme="0"/>
        <rFont val="Calibri"/>
        <family val="2"/>
        <scheme val="minor"/>
      </rPr>
      <t xml:space="preserve"> / O</t>
    </r>
    <r>
      <rPr>
        <i/>
        <vertAlign val="subscript"/>
        <sz val="14"/>
        <color theme="0"/>
        <rFont val="Calibri"/>
        <family val="2"/>
        <scheme val="minor"/>
      </rPr>
      <t>o</t>
    </r>
    <r>
      <rPr>
        <i/>
        <sz val="14"/>
        <color theme="0"/>
        <rFont val="Calibri"/>
        <family val="2"/>
        <scheme val="minor"/>
      </rPr>
      <t xml:space="preserve"> / E</t>
    </r>
    <r>
      <rPr>
        <i/>
        <vertAlign val="subscript"/>
        <sz val="14"/>
        <color theme="0"/>
        <rFont val="Calibri"/>
        <family val="2"/>
        <scheme val="minor"/>
      </rPr>
      <t>o</t>
    </r>
    <r>
      <rPr>
        <i/>
        <sz val="14"/>
        <color theme="0"/>
        <rFont val="Calibri"/>
        <family val="2"/>
        <scheme val="minor"/>
      </rPr>
      <t xml:space="preserve"> om werkloosheid op te lossen</t>
    </r>
  </si>
  <si>
    <r>
      <t>10. Toename C</t>
    </r>
    <r>
      <rPr>
        <i/>
        <vertAlign val="subscript"/>
        <sz val="14"/>
        <color theme="0"/>
        <rFont val="Calibri"/>
        <family val="2"/>
        <scheme val="minor"/>
      </rPr>
      <t>o</t>
    </r>
    <r>
      <rPr>
        <i/>
        <sz val="14"/>
        <color theme="0"/>
        <rFont val="Calibri"/>
        <family val="2"/>
        <scheme val="minor"/>
      </rPr>
      <t xml:space="preserve"> / I</t>
    </r>
    <r>
      <rPr>
        <i/>
        <vertAlign val="subscript"/>
        <sz val="14"/>
        <color theme="0"/>
        <rFont val="Calibri"/>
        <family val="2"/>
        <scheme val="minor"/>
      </rPr>
      <t>o</t>
    </r>
    <r>
      <rPr>
        <i/>
        <sz val="14"/>
        <color theme="0"/>
        <rFont val="Calibri"/>
        <family val="2"/>
        <scheme val="minor"/>
      </rPr>
      <t xml:space="preserve"> / O</t>
    </r>
    <r>
      <rPr>
        <i/>
        <vertAlign val="subscript"/>
        <sz val="14"/>
        <color theme="0"/>
        <rFont val="Calibri"/>
        <family val="2"/>
        <scheme val="minor"/>
      </rPr>
      <t>o</t>
    </r>
    <r>
      <rPr>
        <i/>
        <sz val="14"/>
        <color theme="0"/>
        <rFont val="Calibri"/>
        <family val="2"/>
        <scheme val="minor"/>
      </rPr>
      <t xml:space="preserve"> om werkloosheid op te lossen</t>
    </r>
  </si>
  <si>
    <t>Y=c(Y-B)+Co+Io+Oo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</si>
</sst>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4"/>
      <color rgb="FFFFFF99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vertAlign val="subscript"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66"/>
      <name val="Calibri"/>
      <family val="2"/>
      <scheme val="minor"/>
    </font>
    <font>
      <sz val="11"/>
      <color rgb="FFCCECFF"/>
      <name val="Calibri"/>
      <family val="2"/>
      <scheme val="minor"/>
    </font>
    <font>
      <sz val="11"/>
      <color theme="9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darkGrid">
        <bgColor rgb="FF00206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9" fillId="2" borderId="0" xfId="0" applyFont="1" applyFill="1" applyProtection="1">
      <protection locked="0"/>
    </xf>
    <xf numFmtId="0" fontId="4" fillId="2" borderId="0" xfId="0" applyFont="1" applyFill="1" applyProtection="1">
      <protection hidden="1"/>
    </xf>
    <xf numFmtId="0" fontId="9" fillId="2" borderId="0" xfId="0" applyFont="1" applyFill="1" applyAlignment="1">
      <alignment horizontal="right"/>
    </xf>
    <xf numFmtId="0" fontId="9" fillId="2" borderId="0" xfId="0" applyFont="1" applyFill="1"/>
    <xf numFmtId="0" fontId="6" fillId="2" borderId="0" xfId="0" applyFont="1" applyFill="1"/>
    <xf numFmtId="3" fontId="9" fillId="2" borderId="0" xfId="0" applyNumberFormat="1" applyFont="1" applyFill="1" applyProtection="1">
      <protection locked="0"/>
    </xf>
    <xf numFmtId="0" fontId="5" fillId="2" borderId="0" xfId="0" applyFont="1" applyFill="1"/>
    <xf numFmtId="0" fontId="4" fillId="2" borderId="0" xfId="0" applyFont="1" applyFill="1"/>
    <xf numFmtId="0" fontId="0" fillId="2" borderId="0" xfId="0" applyFill="1"/>
    <xf numFmtId="0" fontId="12" fillId="2" borderId="0" xfId="0" applyFont="1" applyFill="1"/>
    <xf numFmtId="0" fontId="1" fillId="2" borderId="0" xfId="0" applyFont="1" applyFill="1"/>
    <xf numFmtId="0" fontId="10" fillId="2" borderId="0" xfId="0" applyFont="1" applyFill="1"/>
    <xf numFmtId="2" fontId="9" fillId="2" borderId="0" xfId="0" applyNumberFormat="1" applyFont="1" applyFill="1"/>
    <xf numFmtId="0" fontId="11" fillId="2" borderId="0" xfId="0" applyFont="1" applyFill="1"/>
    <xf numFmtId="0" fontId="13" fillId="2" borderId="0" xfId="0" applyFont="1" applyFill="1"/>
    <xf numFmtId="0" fontId="4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8" fillId="2" borderId="0" xfId="1" applyFont="1" applyFill="1" applyBorder="1" applyProtection="1"/>
    <xf numFmtId="0" fontId="3" fillId="3" borderId="1" xfId="0" applyFont="1" applyFill="1" applyBorder="1" applyProtection="1">
      <protection locked="0"/>
    </xf>
    <xf numFmtId="0" fontId="3" fillId="3" borderId="2" xfId="0" applyFont="1" applyFill="1" applyBorder="1" applyProtection="1">
      <protection locked="0"/>
    </xf>
    <xf numFmtId="0" fontId="15" fillId="3" borderId="1" xfId="0" applyFont="1" applyFill="1" applyBorder="1" applyProtection="1">
      <protection locked="0"/>
    </xf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/>
    <xf numFmtId="0" fontId="8" fillId="4" borderId="0" xfId="1" applyFont="1" applyFill="1" applyBorder="1" applyProtection="1"/>
    <xf numFmtId="0" fontId="0" fillId="4" borderId="0" xfId="0" applyFill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Medium9"/>
  <colors>
    <mruColors>
      <color rgb="FFFFFF99"/>
      <color rgb="FFCCEC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image" Target="../media/image1.jpeg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image" Target="../media/image1.jpeg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66815674014773"/>
          <c:y val="2.6417834134369569E-2"/>
          <c:w val="0.64891979411664447"/>
          <c:h val="0.84348842758291576"/>
        </c:manualLayout>
      </c:layout>
      <c:lineChart>
        <c:grouping val="standard"/>
        <c:varyColors val="0"/>
        <c:ser>
          <c:idx val="0"/>
          <c:order val="0"/>
          <c:tx>
            <c:v>Y = C+I</c:v>
          </c:tx>
          <c:marker>
            <c:symbol val="none"/>
          </c:marker>
          <c:cat>
            <c:numRef>
              <c:f>Blad1!$S$8:$S$18</c:f>
              <c:numCache>
                <c:formatCode>General</c:formatCode>
                <c:ptCount val="1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cat>
          <c:val>
            <c:numRef>
              <c:f>Blad1!$V$8:$V$18</c:f>
              <c:numCache>
                <c:formatCode>General</c:formatCode>
                <c:ptCount val="11"/>
                <c:pt idx="0">
                  <c:v>240</c:v>
                </c:pt>
                <c:pt idx="1">
                  <c:v>300</c:v>
                </c:pt>
                <c:pt idx="2">
                  <c:v>360</c:v>
                </c:pt>
                <c:pt idx="3">
                  <c:v>420</c:v>
                </c:pt>
                <c:pt idx="4">
                  <c:v>480</c:v>
                </c:pt>
                <c:pt idx="5">
                  <c:v>540</c:v>
                </c:pt>
                <c:pt idx="6">
                  <c:v>600</c:v>
                </c:pt>
                <c:pt idx="7">
                  <c:v>660</c:v>
                </c:pt>
                <c:pt idx="8">
                  <c:v>720</c:v>
                </c:pt>
                <c:pt idx="9">
                  <c:v>780</c:v>
                </c:pt>
                <c:pt idx="10">
                  <c:v>840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46-4EEE-B6B4-C6F92FCCFE9E}"/>
            </c:ext>
          </c:extLst>
        </c:ser>
        <c:ser>
          <c:idx val="1"/>
          <c:order val="1"/>
          <c:tx>
            <c:v>Y=EV</c:v>
          </c:tx>
          <c:marker>
            <c:symbol val="none"/>
          </c:marker>
          <c:cat>
            <c:numRef>
              <c:f>Blad1!$S$8:$S$18</c:f>
              <c:numCache>
                <c:formatCode>General</c:formatCode>
                <c:ptCount val="1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cat>
          <c:val>
            <c:numRef>
              <c:f>Blad1!$W$8:$W$18</c:f>
              <c:numCache>
                <c:formatCode>General</c:formatCode>
                <c:ptCount val="1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46-4EEE-B6B4-C6F92FCCF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813440"/>
        <c:axId val="80815232"/>
      </c:lineChart>
      <c:catAx>
        <c:axId val="80813440"/>
        <c:scaling>
          <c:orientation val="minMax"/>
        </c:scaling>
        <c:delete val="0"/>
        <c:axPos val="b"/>
        <c:minorGridlines/>
        <c:numFmt formatCode="General" sourceLinked="1"/>
        <c:majorTickMark val="out"/>
        <c:minorTickMark val="none"/>
        <c:tickLblPos val="nextTo"/>
        <c:crossAx val="80815232"/>
        <c:crossesAt val="0"/>
        <c:auto val="1"/>
        <c:lblAlgn val="ctr"/>
        <c:lblOffset val="100"/>
        <c:tickLblSkip val="1"/>
        <c:noMultiLvlLbl val="0"/>
      </c:catAx>
      <c:valAx>
        <c:axId val="80815232"/>
        <c:scaling>
          <c:orientation val="minMax"/>
          <c:max val="10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813440"/>
        <c:crossesAt val="1"/>
        <c:crossBetween val="midCat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effectLst>
          <a:glow>
            <a:schemeClr val="accent1">
              <a:alpha val="40000"/>
            </a:schemeClr>
          </a:glow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r"/>
      <c:overlay val="0"/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scene3d>
      <a:camera prst="orthographicFront"/>
      <a:lightRig rig="threePt" dir="t"/>
    </a:scene3d>
    <a:sp3d>
      <a:bevelT/>
    </a:sp3d>
  </c:spPr>
  <c:printSettings>
    <c:headerFooter>
      <c:oddFooter>&amp;LJ. de Jong&amp;CPagina &amp;P&amp;R&amp;D</c:oddFooter>
    </c:headerFooter>
    <c:pageMargins b="0.74803149606299213" l="0.70866141732283472" r="0.70866141732283472" t="0.74803149606299213" header="0.31496062992125984" footer="0.31496062992125984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88252521066443"/>
          <c:y val="5.8011250471878002E-2"/>
          <c:w val="0.6482864484044758"/>
          <c:h val="0.81801483056554314"/>
        </c:manualLayout>
      </c:layout>
      <c:lineChart>
        <c:grouping val="standard"/>
        <c:varyColors val="0"/>
        <c:ser>
          <c:idx val="0"/>
          <c:order val="0"/>
          <c:tx>
            <c:v>Arbeidsvraag</c:v>
          </c:tx>
          <c:marker>
            <c:symbol val="none"/>
          </c:marker>
          <c:cat>
            <c:numRef>
              <c:f>Blad1!$S$8:$S$18</c:f>
              <c:numCache>
                <c:formatCode>General</c:formatCode>
                <c:ptCount val="1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cat>
          <c:val>
            <c:numRef>
              <c:f>Blad1!$AA$8:$AA$18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F0-4627-A461-B4E932A9A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848384"/>
        <c:axId val="80849920"/>
      </c:lineChart>
      <c:catAx>
        <c:axId val="80848384"/>
        <c:scaling>
          <c:orientation val="minMax"/>
        </c:scaling>
        <c:delete val="0"/>
        <c:axPos val="t"/>
        <c:minorGridlines/>
        <c:numFmt formatCode="General" sourceLinked="1"/>
        <c:majorTickMark val="out"/>
        <c:minorTickMark val="none"/>
        <c:tickLblPos val="nextTo"/>
        <c:crossAx val="80849920"/>
        <c:crosses val="autoZero"/>
        <c:auto val="1"/>
        <c:lblAlgn val="ctr"/>
        <c:lblOffset val="100"/>
        <c:noMultiLvlLbl val="0"/>
      </c:catAx>
      <c:valAx>
        <c:axId val="80849920"/>
        <c:scaling>
          <c:orientation val="maxMin"/>
          <c:max val="1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848384"/>
        <c:crosses val="autoZero"/>
        <c:crossBetween val="midCat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T/>
        </a:sp3d>
      </c:spPr>
    </c:plotArea>
    <c:legend>
      <c:legendPos val="r"/>
      <c:overlay val="0"/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66815674014773"/>
          <c:y val="2.6417834134369569E-2"/>
          <c:w val="0.64891979411664447"/>
          <c:h val="0.84348842758291576"/>
        </c:manualLayout>
      </c:layout>
      <c:lineChart>
        <c:grouping val="standard"/>
        <c:varyColors val="0"/>
        <c:ser>
          <c:idx val="0"/>
          <c:order val="0"/>
          <c:tx>
            <c:v>Y = C+I+O</c:v>
          </c:tx>
          <c:marker>
            <c:symbol val="none"/>
          </c:marker>
          <c:cat>
            <c:numRef>
              <c:f>Blad2!$S$16:$S$26</c:f>
              <c:numCache>
                <c:formatCode>General</c:formatCode>
                <c:ptCount val="1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cat>
          <c:val>
            <c:numRef>
              <c:f>Blad2!$X$16:$X$26</c:f>
              <c:numCache>
                <c:formatCode>General</c:formatCode>
                <c:ptCount val="11"/>
                <c:pt idx="0">
                  <c:v>240</c:v>
                </c:pt>
                <c:pt idx="1">
                  <c:v>300</c:v>
                </c:pt>
                <c:pt idx="2">
                  <c:v>360</c:v>
                </c:pt>
                <c:pt idx="3">
                  <c:v>420</c:v>
                </c:pt>
                <c:pt idx="4">
                  <c:v>480</c:v>
                </c:pt>
                <c:pt idx="5">
                  <c:v>540</c:v>
                </c:pt>
                <c:pt idx="6">
                  <c:v>600</c:v>
                </c:pt>
                <c:pt idx="7">
                  <c:v>660</c:v>
                </c:pt>
                <c:pt idx="8">
                  <c:v>720</c:v>
                </c:pt>
                <c:pt idx="9">
                  <c:v>780</c:v>
                </c:pt>
                <c:pt idx="10">
                  <c:v>840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F3-4CCD-B220-63F314EA4116}"/>
            </c:ext>
          </c:extLst>
        </c:ser>
        <c:ser>
          <c:idx val="1"/>
          <c:order val="1"/>
          <c:tx>
            <c:v>Y=EV</c:v>
          </c:tx>
          <c:marker>
            <c:symbol val="none"/>
          </c:marker>
          <c:cat>
            <c:numRef>
              <c:f>Blad2!$S$16:$S$26</c:f>
              <c:numCache>
                <c:formatCode>General</c:formatCode>
                <c:ptCount val="1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cat>
          <c:val>
            <c:numRef>
              <c:f>Blad2!$Y$16:$Y$26</c:f>
              <c:numCache>
                <c:formatCode>General</c:formatCode>
                <c:ptCount val="1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F3-4CCD-B220-63F314EA4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727360"/>
        <c:axId val="27728896"/>
      </c:lineChart>
      <c:catAx>
        <c:axId val="27727360"/>
        <c:scaling>
          <c:orientation val="minMax"/>
        </c:scaling>
        <c:delete val="0"/>
        <c:axPos val="b"/>
        <c:minorGridlines/>
        <c:numFmt formatCode="General" sourceLinked="1"/>
        <c:majorTickMark val="out"/>
        <c:minorTickMark val="none"/>
        <c:tickLblPos val="nextTo"/>
        <c:crossAx val="27728896"/>
        <c:crossesAt val="0"/>
        <c:auto val="1"/>
        <c:lblAlgn val="ctr"/>
        <c:lblOffset val="100"/>
        <c:tickLblSkip val="1"/>
        <c:noMultiLvlLbl val="0"/>
      </c:catAx>
      <c:valAx>
        <c:axId val="27728896"/>
        <c:scaling>
          <c:orientation val="minMax"/>
          <c:max val="10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727360"/>
        <c:crossesAt val="1"/>
        <c:crossBetween val="midCat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effectLst>
          <a:glow>
            <a:schemeClr val="accent1">
              <a:alpha val="40000"/>
            </a:schemeClr>
          </a:glow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r"/>
      <c:overlay val="0"/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scene3d>
      <a:camera prst="orthographicFront"/>
      <a:lightRig rig="threePt" dir="t"/>
    </a:scene3d>
    <a:sp3d>
      <a:bevelT/>
    </a:sp3d>
  </c:spPr>
  <c:printSettings>
    <c:headerFooter>
      <c:oddFooter>&amp;LJ. de Jong&amp;CPagina &amp;P&amp;R&amp;D</c:oddFooter>
    </c:headerFooter>
    <c:pageMargins b="0.74803149606299213" l="0.70866141732283472" r="0.70866141732283472" t="0.74803149606299213" header="0.31496062992125984" footer="0.31496062992125984"/>
    <c:pageSetup orientation="portrait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88252521066443"/>
          <c:y val="5.8011250471878002E-2"/>
          <c:w val="0.6482864484044758"/>
          <c:h val="0.81801483056554314"/>
        </c:manualLayout>
      </c:layout>
      <c:lineChart>
        <c:grouping val="standard"/>
        <c:varyColors val="0"/>
        <c:ser>
          <c:idx val="0"/>
          <c:order val="0"/>
          <c:tx>
            <c:v>Arbeidsvraag</c:v>
          </c:tx>
          <c:marker>
            <c:symbol val="none"/>
          </c:marker>
          <c:cat>
            <c:numRef>
              <c:f>Blad2!$S$16:$S$26</c:f>
              <c:numCache>
                <c:formatCode>General</c:formatCode>
                <c:ptCount val="1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cat>
          <c:val>
            <c:numRef>
              <c:f>Blad2!$AC$12:$AC$22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3D-4924-8013-C4A0A2FA2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745664"/>
        <c:axId val="27751552"/>
      </c:lineChart>
      <c:catAx>
        <c:axId val="27745664"/>
        <c:scaling>
          <c:orientation val="minMax"/>
        </c:scaling>
        <c:delete val="0"/>
        <c:axPos val="t"/>
        <c:minorGridlines/>
        <c:numFmt formatCode="General" sourceLinked="1"/>
        <c:majorTickMark val="out"/>
        <c:minorTickMark val="none"/>
        <c:tickLblPos val="nextTo"/>
        <c:crossAx val="27751552"/>
        <c:crosses val="autoZero"/>
        <c:auto val="1"/>
        <c:lblAlgn val="ctr"/>
        <c:lblOffset val="100"/>
        <c:noMultiLvlLbl val="0"/>
      </c:catAx>
      <c:valAx>
        <c:axId val="27751552"/>
        <c:scaling>
          <c:orientation val="maxMin"/>
          <c:max val="1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745664"/>
        <c:crosses val="autoZero"/>
        <c:crossBetween val="midCat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T/>
        </a:sp3d>
      </c:spPr>
    </c:plotArea>
    <c:legend>
      <c:legendPos val="r"/>
      <c:overlay val="0"/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66815674014773"/>
          <c:y val="2.6417834134369569E-2"/>
          <c:w val="0.64891979411664447"/>
          <c:h val="0.84348842758291576"/>
        </c:manualLayout>
      </c:layout>
      <c:lineChart>
        <c:grouping val="standard"/>
        <c:varyColors val="0"/>
        <c:ser>
          <c:idx val="0"/>
          <c:order val="0"/>
          <c:tx>
            <c:v>Y =C+I+O+E-M</c:v>
          </c:tx>
          <c:marker>
            <c:symbol val="none"/>
          </c:marker>
          <c:cat>
            <c:numRef>
              <c:f>Blad3!$S$18:$S$28</c:f>
              <c:numCache>
                <c:formatCode>General</c:formatCode>
                <c:ptCount val="1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cat>
          <c:val>
            <c:numRef>
              <c:f>Blad3!$Z$18:$Z$28</c:f>
              <c:numCache>
                <c:formatCode>General</c:formatCode>
                <c:ptCount val="11"/>
                <c:pt idx="0">
                  <c:v>480</c:v>
                </c:pt>
                <c:pt idx="1">
                  <c:v>500</c:v>
                </c:pt>
                <c:pt idx="2">
                  <c:v>520</c:v>
                </c:pt>
                <c:pt idx="3">
                  <c:v>540</c:v>
                </c:pt>
                <c:pt idx="4">
                  <c:v>560</c:v>
                </c:pt>
                <c:pt idx="5">
                  <c:v>580</c:v>
                </c:pt>
                <c:pt idx="6">
                  <c:v>600</c:v>
                </c:pt>
                <c:pt idx="7">
                  <c:v>620</c:v>
                </c:pt>
                <c:pt idx="8">
                  <c:v>640</c:v>
                </c:pt>
                <c:pt idx="9">
                  <c:v>660</c:v>
                </c:pt>
                <c:pt idx="10">
                  <c:v>680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52-4111-8278-D93195DAE4E3}"/>
            </c:ext>
          </c:extLst>
        </c:ser>
        <c:ser>
          <c:idx val="1"/>
          <c:order val="1"/>
          <c:tx>
            <c:v>Y=EV</c:v>
          </c:tx>
          <c:marker>
            <c:symbol val="none"/>
          </c:marker>
          <c:cat>
            <c:numRef>
              <c:f>Blad3!$S$18:$S$28</c:f>
              <c:numCache>
                <c:formatCode>General</c:formatCode>
                <c:ptCount val="1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cat>
          <c:val>
            <c:numRef>
              <c:f>Blad3!$AA$18:$AA$28</c:f>
              <c:numCache>
                <c:formatCode>General</c:formatCode>
                <c:ptCount val="1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52-4111-8278-D93195DAE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550848"/>
        <c:axId val="27552384"/>
      </c:lineChart>
      <c:catAx>
        <c:axId val="27550848"/>
        <c:scaling>
          <c:orientation val="minMax"/>
        </c:scaling>
        <c:delete val="0"/>
        <c:axPos val="b"/>
        <c:minorGridlines/>
        <c:numFmt formatCode="General" sourceLinked="1"/>
        <c:majorTickMark val="out"/>
        <c:minorTickMark val="none"/>
        <c:tickLblPos val="nextTo"/>
        <c:crossAx val="27552384"/>
        <c:crossesAt val="0"/>
        <c:auto val="1"/>
        <c:lblAlgn val="ctr"/>
        <c:lblOffset val="100"/>
        <c:tickLblSkip val="1"/>
        <c:noMultiLvlLbl val="0"/>
      </c:catAx>
      <c:valAx>
        <c:axId val="27552384"/>
        <c:scaling>
          <c:orientation val="minMax"/>
          <c:max val="10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550848"/>
        <c:crossesAt val="1"/>
        <c:crossBetween val="midCat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effectLst>
          <a:glow>
            <a:schemeClr val="accent1">
              <a:alpha val="40000"/>
            </a:schemeClr>
          </a:glow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r"/>
      <c:overlay val="0"/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scene3d>
      <a:camera prst="orthographicFront"/>
      <a:lightRig rig="threePt" dir="t"/>
    </a:scene3d>
    <a:sp3d>
      <a:bevelT/>
    </a:sp3d>
  </c:spPr>
  <c:printSettings>
    <c:headerFooter>
      <c:oddFooter>&amp;LJ. de Jong&amp;CPagina &amp;P&amp;R&amp;D</c:oddFooter>
    </c:headerFooter>
    <c:pageMargins b="0.74803149606299213" l="0.70866141732283472" r="0.70866141732283472" t="0.74803149606299213" header="0.31496062992125984" footer="0.31496062992125984"/>
    <c:pageSetup orientation="portrait"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88252521066443"/>
          <c:y val="5.8011250471878002E-2"/>
          <c:w val="0.6482864484044758"/>
          <c:h val="0.81801483056554314"/>
        </c:manualLayout>
      </c:layout>
      <c:lineChart>
        <c:grouping val="standard"/>
        <c:varyColors val="0"/>
        <c:ser>
          <c:idx val="0"/>
          <c:order val="0"/>
          <c:tx>
            <c:v>Arbeidsvraag</c:v>
          </c:tx>
          <c:marker>
            <c:symbol val="none"/>
          </c:marker>
          <c:cat>
            <c:numRef>
              <c:f>Blad3!$S$18:$S$28</c:f>
              <c:numCache>
                <c:formatCode>General</c:formatCode>
                <c:ptCount val="1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cat>
          <c:val>
            <c:numRef>
              <c:f>Blad3!$AE$14:$AE$24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54-49BB-88F2-D1C9E6B34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577728"/>
        <c:axId val="27595904"/>
      </c:lineChart>
      <c:catAx>
        <c:axId val="27577728"/>
        <c:scaling>
          <c:orientation val="minMax"/>
        </c:scaling>
        <c:delete val="0"/>
        <c:axPos val="t"/>
        <c:minorGridlines/>
        <c:numFmt formatCode="General" sourceLinked="1"/>
        <c:majorTickMark val="out"/>
        <c:minorTickMark val="none"/>
        <c:tickLblPos val="nextTo"/>
        <c:crossAx val="27595904"/>
        <c:crosses val="autoZero"/>
        <c:auto val="1"/>
        <c:lblAlgn val="ctr"/>
        <c:lblOffset val="100"/>
        <c:noMultiLvlLbl val="0"/>
      </c:catAx>
      <c:valAx>
        <c:axId val="27595904"/>
        <c:scaling>
          <c:orientation val="maxMin"/>
          <c:max val="1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577728"/>
        <c:crosses val="autoZero"/>
        <c:crossBetween val="midCat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T/>
        </a:sp3d>
      </c:spPr>
    </c:plotArea>
    <c:legend>
      <c:legendPos val="r"/>
      <c:overlay val="0"/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Blad3!A1"/><Relationship Id="rId2" Type="http://schemas.openxmlformats.org/officeDocument/2006/relationships/hyperlink" Target="#Blad2!A1"/><Relationship Id="rId1" Type="http://schemas.openxmlformats.org/officeDocument/2006/relationships/hyperlink" Target="#Blad1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533400</xdr:colOff>
      <xdr:row>4</xdr:row>
      <xdr:rowOff>126498</xdr:rowOff>
    </xdr:from>
    <xdr:ext cx="8086725" cy="593304"/>
    <xdr:sp macro="" textlink="">
      <xdr:nvSpPr>
        <xdr:cNvPr id="2" name="Rechthoe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752600" y="888498"/>
          <a:ext cx="8086725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nl-NL" sz="32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Het eenvoudig Keynesiaans model</a:t>
          </a:r>
        </a:p>
      </xdr:txBody>
    </xdr:sp>
    <xdr:clientData/>
  </xdr:oneCellAnchor>
  <xdr:oneCellAnchor>
    <xdr:from>
      <xdr:col>2</xdr:col>
      <xdr:colOff>599666</xdr:colOff>
      <xdr:row>10</xdr:row>
      <xdr:rowOff>50298</xdr:rowOff>
    </xdr:from>
    <xdr:ext cx="8097088" cy="593304"/>
    <xdr:sp macro="" textlink="">
      <xdr:nvSpPr>
        <xdr:cNvPr id="3" name="Rechthoe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818866" y="1955298"/>
          <a:ext cx="8097088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nl-NL" sz="32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Het gesloten Keynesiaans</a:t>
          </a:r>
          <a:r>
            <a:rPr lang="nl-NL" sz="32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model met overheid</a:t>
          </a:r>
          <a:endParaRPr lang="nl-NL" sz="32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131042</xdr:colOff>
      <xdr:row>15</xdr:row>
      <xdr:rowOff>126498</xdr:rowOff>
    </xdr:from>
    <xdr:ext cx="9015288" cy="593304"/>
    <xdr:sp macro="" textlink="">
      <xdr:nvSpPr>
        <xdr:cNvPr id="4" name="Rechthoek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350242" y="2983998"/>
          <a:ext cx="9015288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nl-NL" sz="32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Het Keynesiaans model met overheid en buitenland</a:t>
          </a:r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0.81224</cdr:x>
      <cdr:y>0</cdr:y>
    </cdr:from>
    <cdr:to>
      <cdr:x>0.99367</cdr:x>
      <cdr:y>0.06441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3667126" y="0"/>
          <a:ext cx="819150" cy="203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 b="1"/>
            <a:t>Y x € 1 mrd. </a:t>
          </a:r>
        </a:p>
      </cdr:txBody>
    </cdr:sp>
  </cdr:relSizeAnchor>
  <cdr:relSizeAnchor xmlns:cdr="http://schemas.openxmlformats.org/drawingml/2006/chartDrawing">
    <cdr:from>
      <cdr:x>0.01544</cdr:x>
      <cdr:y>0</cdr:y>
    </cdr:from>
    <cdr:to>
      <cdr:x>0.07323</cdr:x>
      <cdr:y>0.61405</cdr:y>
    </cdr:to>
    <cdr:sp macro="" textlink="">
      <cdr:nvSpPr>
        <cdr:cNvPr id="4" name="Tekstvak 1"/>
        <cdr:cNvSpPr txBox="1"/>
      </cdr:nvSpPr>
      <cdr:spPr>
        <a:xfrm xmlns:a="http://schemas.openxmlformats.org/drawingml/2006/main">
          <a:off x="69850" y="0"/>
          <a:ext cx="261463" cy="1944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 b="1"/>
            <a:t>Werkgelegenheid x 1 mln.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38100</xdr:colOff>
      <xdr:row>5</xdr:row>
      <xdr:rowOff>52387</xdr:rowOff>
    </xdr:from>
    <xdr:to>
      <xdr:col>35</xdr:col>
      <xdr:colOff>419100</xdr:colOff>
      <xdr:row>20</xdr:row>
      <xdr:rowOff>142875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38099</xdr:colOff>
      <xdr:row>19</xdr:row>
      <xdr:rowOff>33336</xdr:rowOff>
    </xdr:from>
    <xdr:to>
      <xdr:col>35</xdr:col>
      <xdr:colOff>438150</xdr:colOff>
      <xdr:row>34</xdr:row>
      <xdr:rowOff>161925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76200</xdr:colOff>
      <xdr:row>16</xdr:row>
      <xdr:rowOff>76200</xdr:rowOff>
    </xdr:from>
    <xdr:to>
      <xdr:col>18</xdr:col>
      <xdr:colOff>312371</xdr:colOff>
      <xdr:row>17</xdr:row>
      <xdr:rowOff>80938</xdr:rowOff>
    </xdr:to>
    <xdr:sp macro="" textlink="">
      <xdr:nvSpPr>
        <xdr:cNvPr id="5" name="Tekstvak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886450" y="4705350"/>
          <a:ext cx="236171" cy="20476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nl-NL" sz="1100" b="1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0.71281</cdr:x>
      <cdr:y>0.91889</cdr:y>
    </cdr:from>
    <cdr:to>
      <cdr:x>0.98737</cdr:x>
      <cdr:y>0.97724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3225020" y="3076479"/>
          <a:ext cx="1242206" cy="195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l-NL" sz="1100" b="1"/>
            <a:t>Y x 1 mrd. </a:t>
          </a:r>
        </a:p>
      </cdr:txBody>
    </cdr:sp>
  </cdr:relSizeAnchor>
  <cdr:relSizeAnchor xmlns:cdr="http://schemas.openxmlformats.org/drawingml/2006/chartDrawing">
    <cdr:from>
      <cdr:x>0</cdr:x>
      <cdr:y>0.00397</cdr:y>
    </cdr:from>
    <cdr:to>
      <cdr:x>0.05779</cdr:x>
      <cdr:y>0.29891</cdr:y>
    </cdr:to>
    <cdr:sp macro="" textlink="">
      <cdr:nvSpPr>
        <cdr:cNvPr id="3" name="Tekstvak 2"/>
        <cdr:cNvSpPr txBox="1"/>
      </cdr:nvSpPr>
      <cdr:spPr>
        <a:xfrm xmlns:a="http://schemas.openxmlformats.org/drawingml/2006/main">
          <a:off x="0" y="14288"/>
          <a:ext cx="261463" cy="10605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r>
            <a:rPr lang="nl-NL" sz="1100" b="1"/>
            <a:t>EV x € 1 mrd.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0.81224</cdr:x>
      <cdr:y>0</cdr:y>
    </cdr:from>
    <cdr:to>
      <cdr:x>0.99367</cdr:x>
      <cdr:y>0.06441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3667126" y="0"/>
          <a:ext cx="819150" cy="203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 b="1"/>
            <a:t>Y x € 1 mrd. </a:t>
          </a:r>
        </a:p>
      </cdr:txBody>
    </cdr:sp>
  </cdr:relSizeAnchor>
  <cdr:relSizeAnchor xmlns:cdr="http://schemas.openxmlformats.org/drawingml/2006/chartDrawing">
    <cdr:from>
      <cdr:x>0.01544</cdr:x>
      <cdr:y>0</cdr:y>
    </cdr:from>
    <cdr:to>
      <cdr:x>0.07323</cdr:x>
      <cdr:y>0.61405</cdr:y>
    </cdr:to>
    <cdr:sp macro="" textlink="">
      <cdr:nvSpPr>
        <cdr:cNvPr id="4" name="Tekstvak 1"/>
        <cdr:cNvSpPr txBox="1"/>
      </cdr:nvSpPr>
      <cdr:spPr>
        <a:xfrm xmlns:a="http://schemas.openxmlformats.org/drawingml/2006/main">
          <a:off x="69850" y="0"/>
          <a:ext cx="261463" cy="1944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 b="1"/>
            <a:t>Werkgelegenheid x 1 mln.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</xdr:colOff>
      <xdr:row>5</xdr:row>
      <xdr:rowOff>166687</xdr:rowOff>
    </xdr:from>
    <xdr:to>
      <xdr:col>29</xdr:col>
      <xdr:colOff>361949</xdr:colOff>
      <xdr:row>21</xdr:row>
      <xdr:rowOff>123825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133350</xdr:colOff>
      <xdr:row>20</xdr:row>
      <xdr:rowOff>4761</xdr:rowOff>
    </xdr:from>
    <xdr:to>
      <xdr:col>29</xdr:col>
      <xdr:colOff>352425</xdr:colOff>
      <xdr:row>34</xdr:row>
      <xdr:rowOff>180975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76200</xdr:colOff>
      <xdr:row>24</xdr:row>
      <xdr:rowOff>76200</xdr:rowOff>
    </xdr:from>
    <xdr:to>
      <xdr:col>18</xdr:col>
      <xdr:colOff>312371</xdr:colOff>
      <xdr:row>25</xdr:row>
      <xdr:rowOff>80938</xdr:rowOff>
    </xdr:to>
    <xdr:sp macro="" textlink="">
      <xdr:nvSpPr>
        <xdr:cNvPr id="4" name="Tekstvak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096000" y="3733800"/>
          <a:ext cx="236171" cy="24286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nl-NL" sz="1100" b="1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0.71281</cdr:x>
      <cdr:y>0.91889</cdr:y>
    </cdr:from>
    <cdr:to>
      <cdr:x>0.98737</cdr:x>
      <cdr:y>0.97724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3225020" y="3076479"/>
          <a:ext cx="1242206" cy="195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l-NL" sz="1100" b="1"/>
            <a:t>Y x 1 mrd. </a:t>
          </a:r>
        </a:p>
      </cdr:txBody>
    </cdr:sp>
  </cdr:relSizeAnchor>
  <cdr:relSizeAnchor xmlns:cdr="http://schemas.openxmlformats.org/drawingml/2006/chartDrawing">
    <cdr:from>
      <cdr:x>0</cdr:x>
      <cdr:y>0.00397</cdr:y>
    </cdr:from>
    <cdr:to>
      <cdr:x>0.05779</cdr:x>
      <cdr:y>0.29891</cdr:y>
    </cdr:to>
    <cdr:sp macro="" textlink="">
      <cdr:nvSpPr>
        <cdr:cNvPr id="3" name="Tekstvak 2"/>
        <cdr:cNvSpPr txBox="1"/>
      </cdr:nvSpPr>
      <cdr:spPr>
        <a:xfrm xmlns:a="http://schemas.openxmlformats.org/drawingml/2006/main">
          <a:off x="0" y="14288"/>
          <a:ext cx="261463" cy="10605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r>
            <a:rPr lang="nl-NL" sz="1100" b="1"/>
            <a:t>EV x € 1 mrd.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0.81224</cdr:x>
      <cdr:y>0</cdr:y>
    </cdr:from>
    <cdr:to>
      <cdr:x>0.99367</cdr:x>
      <cdr:y>0.06441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3667126" y="0"/>
          <a:ext cx="819150" cy="203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 b="1"/>
            <a:t>Y x € 1 mrd. </a:t>
          </a:r>
        </a:p>
      </cdr:txBody>
    </cdr:sp>
  </cdr:relSizeAnchor>
  <cdr:relSizeAnchor xmlns:cdr="http://schemas.openxmlformats.org/drawingml/2006/chartDrawing">
    <cdr:from>
      <cdr:x>0.01544</cdr:x>
      <cdr:y>0</cdr:y>
    </cdr:from>
    <cdr:to>
      <cdr:x>0.07323</cdr:x>
      <cdr:y>0.61405</cdr:y>
    </cdr:to>
    <cdr:sp macro="" textlink="">
      <cdr:nvSpPr>
        <cdr:cNvPr id="4" name="Tekstvak 1"/>
        <cdr:cNvSpPr txBox="1"/>
      </cdr:nvSpPr>
      <cdr:spPr>
        <a:xfrm xmlns:a="http://schemas.openxmlformats.org/drawingml/2006/main">
          <a:off x="69850" y="0"/>
          <a:ext cx="261463" cy="1944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 b="1"/>
            <a:t>Werkgelegenheid x 1 mln.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114300</xdr:colOff>
      <xdr:row>5</xdr:row>
      <xdr:rowOff>157162</xdr:rowOff>
    </xdr:from>
    <xdr:to>
      <xdr:col>31</xdr:col>
      <xdr:colOff>9525</xdr:colOff>
      <xdr:row>21</xdr:row>
      <xdr:rowOff>114300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114301</xdr:colOff>
      <xdr:row>19</xdr:row>
      <xdr:rowOff>223836</xdr:rowOff>
    </xdr:from>
    <xdr:to>
      <xdr:col>31</xdr:col>
      <xdr:colOff>19050</xdr:colOff>
      <xdr:row>34</xdr:row>
      <xdr:rowOff>66675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76200</xdr:colOff>
      <xdr:row>26</xdr:row>
      <xdr:rowOff>76200</xdr:rowOff>
    </xdr:from>
    <xdr:to>
      <xdr:col>18</xdr:col>
      <xdr:colOff>312371</xdr:colOff>
      <xdr:row>27</xdr:row>
      <xdr:rowOff>80938</xdr:rowOff>
    </xdr:to>
    <xdr:sp macro="" textlink="">
      <xdr:nvSpPr>
        <xdr:cNvPr id="4" name="Tekstvak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6448425" y="5362575"/>
          <a:ext cx="236171" cy="26191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nl-NL" sz="1100" b="1"/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0.71281</cdr:x>
      <cdr:y>0.91889</cdr:y>
    </cdr:from>
    <cdr:to>
      <cdr:x>0.98737</cdr:x>
      <cdr:y>0.97724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3225020" y="3076479"/>
          <a:ext cx="1242206" cy="195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l-NL" sz="1100" b="1"/>
            <a:t>Y x 1 mrd. </a:t>
          </a:r>
        </a:p>
      </cdr:txBody>
    </cdr:sp>
  </cdr:relSizeAnchor>
  <cdr:relSizeAnchor xmlns:cdr="http://schemas.openxmlformats.org/drawingml/2006/chartDrawing">
    <cdr:from>
      <cdr:x>0</cdr:x>
      <cdr:y>0.00397</cdr:y>
    </cdr:from>
    <cdr:to>
      <cdr:x>0.05779</cdr:x>
      <cdr:y>0.29891</cdr:y>
    </cdr:to>
    <cdr:sp macro="" textlink="">
      <cdr:nvSpPr>
        <cdr:cNvPr id="3" name="Tekstvak 2"/>
        <cdr:cNvSpPr txBox="1"/>
      </cdr:nvSpPr>
      <cdr:spPr>
        <a:xfrm xmlns:a="http://schemas.openxmlformats.org/drawingml/2006/main">
          <a:off x="0" y="14288"/>
          <a:ext cx="261463" cy="10605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r>
            <a:rPr lang="nl-NL" sz="1100" b="1"/>
            <a:t>EV x € 1 mrd.</a:t>
          </a:r>
        </a:p>
      </cdr:txBody>
    </cdr:sp>
  </cdr:relSizeAnchor>
</c:userShape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djong.n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jdjong.nl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jdjong.nl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jdjong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6"/>
  <sheetViews>
    <sheetView tabSelected="1" workbookViewId="0"/>
  </sheetViews>
  <sheetFormatPr defaultRowHeight="15" x14ac:dyDescent="0.25"/>
  <cols>
    <col min="1" max="16384" width="9.140625" style="28"/>
  </cols>
  <sheetData>
    <row r="26" spans="1:1" x14ac:dyDescent="0.25">
      <c r="A26" s="27" t="s">
        <v>3</v>
      </c>
    </row>
  </sheetData>
  <sheetProtection password="8DBD" sheet="1" objects="1" scenarios="1"/>
  <hyperlinks>
    <hyperlink ref="A26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31"/>
  <sheetViews>
    <sheetView workbookViewId="0"/>
  </sheetViews>
  <sheetFormatPr defaultRowHeight="15" x14ac:dyDescent="0.25"/>
  <cols>
    <col min="1" max="1" width="11.85546875" style="9" customWidth="1"/>
    <col min="2" max="2" width="2.5703125" style="9" bestFit="1" customWidth="1"/>
    <col min="3" max="3" width="5.85546875" style="9" customWidth="1"/>
    <col min="4" max="5" width="2.7109375" style="9" customWidth="1"/>
    <col min="6" max="6" width="5.5703125" style="9" customWidth="1"/>
    <col min="7" max="7" width="9.140625" style="9"/>
    <col min="8" max="8" width="6.140625" style="9" customWidth="1"/>
    <col min="9" max="9" width="5.85546875" style="9" customWidth="1"/>
    <col min="10" max="10" width="4.28515625" style="9" customWidth="1"/>
    <col min="11" max="11" width="4.140625" style="9" customWidth="1"/>
    <col min="12" max="12" width="3.85546875" style="9" customWidth="1"/>
    <col min="13" max="13" width="2.28515625" style="9" customWidth="1"/>
    <col min="14" max="14" width="11.7109375" style="9" customWidth="1"/>
    <col min="15" max="15" width="2.5703125" style="9" customWidth="1"/>
    <col min="16" max="16" width="4.5703125" style="9" customWidth="1"/>
    <col min="17" max="17" width="2.140625" style="9" customWidth="1"/>
    <col min="18" max="18" width="2.28515625" style="9" customWidth="1"/>
    <col min="19" max="19" width="9.140625" style="9"/>
    <col min="20" max="20" width="7.140625" style="9" customWidth="1"/>
    <col min="21" max="21" width="6.28515625" style="9" customWidth="1"/>
    <col min="22" max="22" width="11.28515625" style="9" customWidth="1"/>
    <col min="23" max="23" width="7.85546875" style="9" customWidth="1"/>
    <col min="24" max="24" width="9.140625" style="9" hidden="1" customWidth="1"/>
    <col min="25" max="25" width="27.7109375" style="9" hidden="1" customWidth="1"/>
    <col min="26" max="26" width="9.140625" style="9" hidden="1" customWidth="1"/>
    <col min="27" max="27" width="8" style="9" customWidth="1"/>
    <col min="28" max="29" width="9.140625" style="9"/>
    <col min="30" max="30" width="9.140625" style="9" hidden="1" customWidth="1"/>
    <col min="31" max="31" width="17.42578125" style="9" hidden="1" customWidth="1"/>
    <col min="32" max="32" width="9.140625" style="9" hidden="1" customWidth="1"/>
    <col min="33" max="33" width="14.42578125" style="9" hidden="1" customWidth="1"/>
    <col min="34" max="34" width="9.140625" style="9" hidden="1" customWidth="1"/>
    <col min="35" max="35" width="13.140625" style="9" hidden="1" customWidth="1"/>
    <col min="36" max="16384" width="9.140625" style="9"/>
  </cols>
  <sheetData>
    <row r="1" spans="1:34" ht="26.25" x14ac:dyDescent="0.4">
      <c r="A1" s="7" t="s">
        <v>28</v>
      </c>
      <c r="B1" s="8"/>
      <c r="C1" s="8"/>
    </row>
    <row r="2" spans="1:34" ht="15.75" x14ac:dyDescent="0.25">
      <c r="A2" s="10" t="s">
        <v>36</v>
      </c>
      <c r="B2" s="5"/>
      <c r="C2" s="5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34" ht="15.75" x14ac:dyDescent="0.25">
      <c r="A3" s="10" t="s">
        <v>56</v>
      </c>
      <c r="B3" s="5"/>
      <c r="C3" s="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34" ht="15.75" x14ac:dyDescent="0.25">
      <c r="A4" s="10" t="s">
        <v>48</v>
      </c>
      <c r="B4" s="5"/>
      <c r="C4" s="5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34" x14ac:dyDescent="0.25">
      <c r="A5" s="8" t="s">
        <v>37</v>
      </c>
    </row>
    <row r="6" spans="1:34" ht="18.75" x14ac:dyDescent="0.3">
      <c r="A6" s="3" t="s">
        <v>11</v>
      </c>
      <c r="B6" s="4" t="s">
        <v>0</v>
      </c>
      <c r="C6" s="1">
        <v>0.6</v>
      </c>
      <c r="D6" s="4" t="s">
        <v>5</v>
      </c>
      <c r="E6" s="4" t="s">
        <v>1</v>
      </c>
      <c r="F6" s="1">
        <v>40</v>
      </c>
      <c r="G6" s="12"/>
      <c r="H6" s="4" t="s">
        <v>15</v>
      </c>
      <c r="I6" s="4"/>
      <c r="J6" s="13"/>
      <c r="K6" s="4"/>
      <c r="L6" s="4"/>
      <c r="M6" s="4"/>
      <c r="N6" s="6">
        <v>100000</v>
      </c>
      <c r="O6" s="4"/>
      <c r="P6" s="4"/>
      <c r="Q6" s="4"/>
      <c r="R6" s="4"/>
    </row>
    <row r="7" spans="1:34" ht="18.75" x14ac:dyDescent="0.3">
      <c r="A7" s="3" t="s">
        <v>6</v>
      </c>
      <c r="B7" s="4" t="s">
        <v>0</v>
      </c>
      <c r="C7" s="1">
        <v>200</v>
      </c>
      <c r="D7" s="4"/>
      <c r="E7" s="4"/>
      <c r="F7" s="4"/>
      <c r="H7" s="4" t="s">
        <v>32</v>
      </c>
      <c r="I7" s="4"/>
      <c r="J7" s="4"/>
      <c r="N7" s="1">
        <v>900</v>
      </c>
      <c r="O7" s="4"/>
      <c r="P7" s="4"/>
      <c r="Q7" s="4"/>
      <c r="S7" s="16" t="s">
        <v>10</v>
      </c>
      <c r="T7" s="16" t="s">
        <v>12</v>
      </c>
      <c r="U7" s="16" t="s">
        <v>9</v>
      </c>
      <c r="V7" s="16" t="s">
        <v>38</v>
      </c>
      <c r="W7" s="16" t="s">
        <v>13</v>
      </c>
      <c r="X7" s="17"/>
      <c r="Y7" s="17"/>
      <c r="Z7" s="17"/>
      <c r="AA7" s="8" t="s">
        <v>16</v>
      </c>
    </row>
    <row r="8" spans="1:34" ht="18.75" x14ac:dyDescent="0.3">
      <c r="A8" s="3" t="s">
        <v>7</v>
      </c>
      <c r="B8" s="4" t="s">
        <v>0</v>
      </c>
      <c r="C8" s="3" t="s">
        <v>8</v>
      </c>
      <c r="D8" s="4" t="s">
        <v>1</v>
      </c>
      <c r="E8" s="4" t="s">
        <v>9</v>
      </c>
      <c r="F8" s="5"/>
      <c r="G8" s="12"/>
      <c r="H8" s="4" t="s">
        <v>14</v>
      </c>
      <c r="I8" s="4"/>
      <c r="J8" s="13"/>
      <c r="K8" s="4"/>
      <c r="L8" s="4"/>
      <c r="M8" s="4"/>
      <c r="N8" s="4">
        <f>10/N6*100000</f>
        <v>10</v>
      </c>
      <c r="O8" s="4"/>
      <c r="P8" s="4"/>
      <c r="Q8" s="4"/>
      <c r="S8" s="8">
        <v>0</v>
      </c>
      <c r="T8" s="8">
        <f>F6</f>
        <v>40</v>
      </c>
      <c r="U8" s="8">
        <f>$C$7</f>
        <v>200</v>
      </c>
      <c r="V8" s="8">
        <f>SUM(T8:U8)</f>
        <v>240</v>
      </c>
      <c r="W8" s="8">
        <f t="shared" ref="W8:W18" si="0">S8</f>
        <v>0</v>
      </c>
      <c r="X8" s="9">
        <f>SUM(T8:U8)</f>
        <v>240</v>
      </c>
      <c r="AA8" s="8">
        <v>0</v>
      </c>
    </row>
    <row r="9" spans="1:34" x14ac:dyDescent="0.25">
      <c r="H9" s="25" t="str">
        <f>IF(N7&lt;AH14,"Productiecapaciteit is lager dan de productie!","")</f>
        <v/>
      </c>
      <c r="I9" s="25"/>
      <c r="J9" s="25"/>
      <c r="K9" s="25"/>
      <c r="L9" s="24"/>
      <c r="M9" s="24"/>
      <c r="N9" s="24"/>
      <c r="O9" s="24"/>
      <c r="S9" s="8">
        <v>100</v>
      </c>
      <c r="T9" s="8">
        <f t="shared" ref="T9:T18" si="1">S9*$C$6+$F$6</f>
        <v>100</v>
      </c>
      <c r="U9" s="8">
        <f t="shared" ref="U9:U18" si="2">$C$7</f>
        <v>200</v>
      </c>
      <c r="V9" s="8">
        <f t="shared" ref="V9:V18" si="3">T9+U9</f>
        <v>300</v>
      </c>
      <c r="W9" s="8">
        <f t="shared" si="0"/>
        <v>100</v>
      </c>
      <c r="AA9" s="8">
        <f t="shared" ref="AA9:AA18" si="4">S9/$N$6*1000</f>
        <v>1</v>
      </c>
    </row>
    <row r="10" spans="1:34" ht="15.75" x14ac:dyDescent="0.25">
      <c r="A10" s="5" t="s">
        <v>2</v>
      </c>
      <c r="B10" s="8"/>
      <c r="C10" s="8"/>
      <c r="D10" s="8"/>
      <c r="E10" s="8"/>
      <c r="F10" s="8"/>
      <c r="G10" s="8"/>
      <c r="H10" s="25" t="str">
        <f>IF(N7&lt;AH14,"Vul minstens","")</f>
        <v/>
      </c>
      <c r="I10" s="25"/>
      <c r="J10" s="26" t="str">
        <f>IF(N7&lt;AH14,AH14,"")</f>
        <v/>
      </c>
      <c r="K10" s="25" t="str">
        <f>IF(N7&lt;AH14,"in","")</f>
        <v/>
      </c>
      <c r="S10" s="8">
        <v>200</v>
      </c>
      <c r="T10" s="8">
        <f t="shared" si="1"/>
        <v>160</v>
      </c>
      <c r="U10" s="8">
        <f t="shared" si="2"/>
        <v>200</v>
      </c>
      <c r="V10" s="8">
        <f t="shared" si="3"/>
        <v>360</v>
      </c>
      <c r="W10" s="8">
        <f t="shared" si="0"/>
        <v>200</v>
      </c>
      <c r="AA10" s="8">
        <f t="shared" si="4"/>
        <v>2</v>
      </c>
    </row>
    <row r="11" spans="1:34" ht="18.75" x14ac:dyDescent="0.3">
      <c r="A11" s="14" t="s">
        <v>17</v>
      </c>
      <c r="B11" s="8"/>
      <c r="C11" s="8"/>
      <c r="D11" s="8"/>
      <c r="E11" s="8"/>
      <c r="F11" s="8"/>
      <c r="G11" s="8"/>
      <c r="H11" s="8"/>
      <c r="L11" s="15"/>
      <c r="N11" s="21"/>
      <c r="P11" s="19" t="str">
        <f>IF(N11&lt;&gt;"",IF(N11=ROUND(AH12,2),"GOED","FOUT"),"")</f>
        <v/>
      </c>
      <c r="S11" s="8">
        <v>300</v>
      </c>
      <c r="T11" s="8">
        <f t="shared" si="1"/>
        <v>220</v>
      </c>
      <c r="U11" s="8">
        <f t="shared" si="2"/>
        <v>200</v>
      </c>
      <c r="V11" s="8">
        <f t="shared" si="3"/>
        <v>420</v>
      </c>
      <c r="W11" s="8">
        <f t="shared" si="0"/>
        <v>300</v>
      </c>
      <c r="X11" s="8"/>
      <c r="Y11" s="8"/>
      <c r="Z11" s="8"/>
      <c r="AA11" s="8">
        <f t="shared" si="4"/>
        <v>3</v>
      </c>
      <c r="AE11" s="8"/>
      <c r="AF11" s="8"/>
    </row>
    <row r="12" spans="1:34" ht="18.75" x14ac:dyDescent="0.3">
      <c r="A12" s="14" t="s">
        <v>29</v>
      </c>
      <c r="B12" s="8"/>
      <c r="C12" s="8"/>
      <c r="D12" s="8"/>
      <c r="E12" s="8"/>
      <c r="F12" s="8"/>
      <c r="G12" s="8"/>
      <c r="H12" s="8"/>
      <c r="L12" s="15"/>
      <c r="N12" s="21"/>
      <c r="P12" s="19" t="str">
        <f t="shared" ref="P12:P20" si="5">IF(N12&lt;&gt;"",IF(N12=ROUND(AH13,2),"GOED","FOUT"),"")</f>
        <v/>
      </c>
      <c r="S12" s="8">
        <v>400</v>
      </c>
      <c r="T12" s="8">
        <f t="shared" si="1"/>
        <v>280</v>
      </c>
      <c r="U12" s="8">
        <f t="shared" si="2"/>
        <v>200</v>
      </c>
      <c r="V12" s="8">
        <f t="shared" si="3"/>
        <v>480</v>
      </c>
      <c r="W12" s="8">
        <f t="shared" si="0"/>
        <v>400</v>
      </c>
      <c r="X12" s="8"/>
      <c r="Y12" s="8"/>
      <c r="Z12" s="8"/>
      <c r="AA12" s="8">
        <f t="shared" si="4"/>
        <v>4</v>
      </c>
      <c r="AD12" s="14" t="s">
        <v>17</v>
      </c>
      <c r="AE12" s="8"/>
      <c r="AF12" s="8"/>
      <c r="AH12" s="2">
        <f>C6</f>
        <v>0.6</v>
      </c>
    </row>
    <row r="13" spans="1:34" ht="18.75" x14ac:dyDescent="0.3">
      <c r="A13" s="14" t="s">
        <v>19</v>
      </c>
      <c r="B13" s="8"/>
      <c r="C13" s="8"/>
      <c r="D13" s="8"/>
      <c r="E13" s="8"/>
      <c r="F13" s="8"/>
      <c r="G13" s="8"/>
      <c r="H13" s="8"/>
      <c r="L13" s="15"/>
      <c r="N13" s="21"/>
      <c r="P13" s="19" t="str">
        <f t="shared" si="5"/>
        <v/>
      </c>
      <c r="S13" s="8">
        <v>500</v>
      </c>
      <c r="T13" s="8">
        <f t="shared" si="1"/>
        <v>340</v>
      </c>
      <c r="U13" s="8">
        <f t="shared" si="2"/>
        <v>200</v>
      </c>
      <c r="V13" s="8">
        <f t="shared" si="3"/>
        <v>540</v>
      </c>
      <c r="W13" s="8">
        <f t="shared" si="0"/>
        <v>500</v>
      </c>
      <c r="X13" s="8"/>
      <c r="Y13" s="8"/>
      <c r="Z13" s="8"/>
      <c r="AA13" s="8">
        <f t="shared" si="4"/>
        <v>5</v>
      </c>
      <c r="AD13" s="14" t="s">
        <v>18</v>
      </c>
      <c r="AE13" s="8"/>
      <c r="AF13" s="8"/>
      <c r="AH13" s="2">
        <f>(AH14*C6+F6)/AH14</f>
        <v>0.66666666666666663</v>
      </c>
    </row>
    <row r="14" spans="1:34" ht="18.75" x14ac:dyDescent="0.3">
      <c r="A14" s="14" t="s">
        <v>21</v>
      </c>
      <c r="B14" s="8"/>
      <c r="C14" s="8"/>
      <c r="D14" s="8"/>
      <c r="E14" s="8"/>
      <c r="F14" s="8"/>
      <c r="G14" s="8"/>
      <c r="H14" s="8"/>
      <c r="L14" s="15"/>
      <c r="N14" s="21"/>
      <c r="P14" s="19" t="str">
        <f t="shared" si="5"/>
        <v/>
      </c>
      <c r="S14" s="8">
        <v>600</v>
      </c>
      <c r="T14" s="8">
        <f t="shared" si="1"/>
        <v>400</v>
      </c>
      <c r="U14" s="8">
        <f t="shared" si="2"/>
        <v>200</v>
      </c>
      <c r="V14" s="8">
        <f t="shared" si="3"/>
        <v>600</v>
      </c>
      <c r="W14" s="8">
        <f t="shared" si="0"/>
        <v>600</v>
      </c>
      <c r="X14" s="8"/>
      <c r="Y14" s="8"/>
      <c r="Z14" s="8"/>
      <c r="AA14" s="8">
        <f t="shared" si="4"/>
        <v>6</v>
      </c>
      <c r="AD14" s="14" t="s">
        <v>19</v>
      </c>
      <c r="AE14" s="8"/>
      <c r="AF14" s="8"/>
      <c r="AH14" s="2">
        <f>(F6+C7)/(1-C6)</f>
        <v>600</v>
      </c>
    </row>
    <row r="15" spans="1:34" ht="18.75" x14ac:dyDescent="0.3">
      <c r="A15" s="14" t="s">
        <v>20</v>
      </c>
      <c r="B15" s="8"/>
      <c r="C15" s="8"/>
      <c r="D15" s="8"/>
      <c r="E15" s="8"/>
      <c r="F15" s="8"/>
      <c r="G15" s="8"/>
      <c r="H15" s="8"/>
      <c r="L15" s="15"/>
      <c r="N15" s="21"/>
      <c r="P15" s="19" t="str">
        <f t="shared" si="5"/>
        <v/>
      </c>
      <c r="S15" s="8">
        <v>700</v>
      </c>
      <c r="T15" s="8">
        <f t="shared" si="1"/>
        <v>460</v>
      </c>
      <c r="U15" s="8">
        <f t="shared" si="2"/>
        <v>200</v>
      </c>
      <c r="V15" s="8">
        <f t="shared" si="3"/>
        <v>660</v>
      </c>
      <c r="W15" s="8">
        <f t="shared" si="0"/>
        <v>700</v>
      </c>
      <c r="X15" s="8"/>
      <c r="Y15" s="8"/>
      <c r="Z15" s="8"/>
      <c r="AA15" s="8">
        <f t="shared" si="4"/>
        <v>7</v>
      </c>
      <c r="AD15" s="14" t="s">
        <v>21</v>
      </c>
      <c r="AE15" s="8"/>
      <c r="AF15" s="8"/>
      <c r="AH15" s="2">
        <f>1/(1-C6)</f>
        <v>2.5</v>
      </c>
    </row>
    <row r="16" spans="1:34" ht="18.75" x14ac:dyDescent="0.3">
      <c r="A16" s="14" t="s">
        <v>33</v>
      </c>
      <c r="L16" s="15"/>
      <c r="N16" s="21"/>
      <c r="P16" s="19" t="str">
        <f t="shared" si="5"/>
        <v/>
      </c>
      <c r="S16" s="8">
        <v>800</v>
      </c>
      <c r="T16" s="8">
        <f t="shared" si="1"/>
        <v>520</v>
      </c>
      <c r="U16" s="8">
        <f t="shared" si="2"/>
        <v>200</v>
      </c>
      <c r="V16" s="8">
        <f t="shared" si="3"/>
        <v>720</v>
      </c>
      <c r="W16" s="8">
        <f t="shared" si="0"/>
        <v>800</v>
      </c>
      <c r="X16" s="8"/>
      <c r="Y16" s="8"/>
      <c r="Z16" s="8"/>
      <c r="AA16" s="8">
        <f t="shared" si="4"/>
        <v>8</v>
      </c>
      <c r="AD16" s="14" t="s">
        <v>20</v>
      </c>
      <c r="AF16" s="8"/>
      <c r="AH16" s="2">
        <f>(N6*N8)/1000</f>
        <v>1000</v>
      </c>
    </row>
    <row r="17" spans="1:35" ht="18.75" x14ac:dyDescent="0.3">
      <c r="A17" s="14" t="s">
        <v>34</v>
      </c>
      <c r="L17" s="15"/>
      <c r="N17" s="21"/>
      <c r="P17" s="19" t="str">
        <f t="shared" si="5"/>
        <v/>
      </c>
      <c r="S17" s="8">
        <v>900</v>
      </c>
      <c r="T17" s="8">
        <f t="shared" si="1"/>
        <v>580</v>
      </c>
      <c r="U17" s="8">
        <f t="shared" si="2"/>
        <v>200</v>
      </c>
      <c r="V17" s="8">
        <f t="shared" si="3"/>
        <v>780</v>
      </c>
      <c r="W17" s="8">
        <f t="shared" si="0"/>
        <v>900</v>
      </c>
      <c r="X17" s="8"/>
      <c r="Y17" s="8"/>
      <c r="Z17" s="8"/>
      <c r="AA17" s="8">
        <f t="shared" si="4"/>
        <v>9</v>
      </c>
      <c r="AD17" s="14" t="s">
        <v>22</v>
      </c>
      <c r="AF17" s="8"/>
      <c r="AH17" s="2">
        <f>AH14/N6*1000</f>
        <v>6</v>
      </c>
    </row>
    <row r="18" spans="1:35" ht="18.75" x14ac:dyDescent="0.3">
      <c r="A18" s="14" t="s">
        <v>35</v>
      </c>
      <c r="B18" s="8"/>
      <c r="C18" s="8"/>
      <c r="D18" s="8"/>
      <c r="E18" s="8"/>
      <c r="F18" s="8"/>
      <c r="G18" s="8"/>
      <c r="H18" s="8"/>
      <c r="L18" s="15"/>
      <c r="N18" s="21"/>
      <c r="P18" s="19" t="str">
        <f>IF(N18&lt;&gt;"",IF(N18=ROUND(AI19,2),"GOED","FOUT"),"")</f>
        <v/>
      </c>
      <c r="S18" s="8">
        <v>1000</v>
      </c>
      <c r="T18" s="8">
        <f t="shared" si="1"/>
        <v>640</v>
      </c>
      <c r="U18" s="8">
        <f t="shared" si="2"/>
        <v>200</v>
      </c>
      <c r="V18" s="8">
        <f t="shared" si="3"/>
        <v>840</v>
      </c>
      <c r="W18" s="8">
        <f t="shared" si="0"/>
        <v>1000</v>
      </c>
      <c r="X18" s="8"/>
      <c r="Y18" s="8"/>
      <c r="Z18" s="8"/>
      <c r="AA18" s="8">
        <f t="shared" si="4"/>
        <v>10</v>
      </c>
      <c r="AD18" s="14" t="s">
        <v>23</v>
      </c>
      <c r="AE18" s="8"/>
      <c r="AF18" s="8"/>
      <c r="AH18" s="2">
        <f>(N8-AH17)</f>
        <v>4</v>
      </c>
    </row>
    <row r="19" spans="1:35" ht="18.75" x14ac:dyDescent="0.3">
      <c r="A19" s="14" t="s">
        <v>25</v>
      </c>
      <c r="B19" s="8"/>
      <c r="C19" s="8"/>
      <c r="D19" s="8"/>
      <c r="E19" s="8"/>
      <c r="F19" s="8"/>
      <c r="G19" s="8"/>
      <c r="H19" s="8"/>
      <c r="L19" s="15"/>
      <c r="N19" s="22"/>
      <c r="P19" s="19" t="str">
        <f>IF(N19&lt;&gt;"",IF(N19=ROUND(AI20,2),"GOED","FOUT"),"")</f>
        <v/>
      </c>
      <c r="S19" s="8"/>
      <c r="T19" s="8"/>
      <c r="AA19" s="8"/>
      <c r="AD19" s="14" t="s">
        <v>24</v>
      </c>
      <c r="AE19" s="8"/>
      <c r="AF19" s="8"/>
      <c r="AH19" s="2">
        <f>(AH23-AH14)/N6*1000</f>
        <v>3</v>
      </c>
      <c r="AI19" s="8">
        <f>IF(AH18&lt;AH19,AH18,AH19)</f>
        <v>3</v>
      </c>
    </row>
    <row r="20" spans="1:35" ht="20.25" x14ac:dyDescent="0.35">
      <c r="A20" s="14" t="s">
        <v>31</v>
      </c>
      <c r="B20" s="8"/>
      <c r="C20" s="8"/>
      <c r="D20" s="8"/>
      <c r="E20" s="8"/>
      <c r="F20" s="8"/>
      <c r="G20" s="8"/>
      <c r="H20" s="8"/>
      <c r="L20" s="15"/>
      <c r="N20" s="23"/>
      <c r="P20" s="19" t="str">
        <f t="shared" si="5"/>
        <v/>
      </c>
      <c r="S20" s="8"/>
      <c r="T20" s="8"/>
      <c r="AA20" s="8"/>
      <c r="AD20" s="14" t="s">
        <v>25</v>
      </c>
      <c r="AE20" s="8"/>
      <c r="AF20" s="8"/>
      <c r="AH20" s="2">
        <f>(AH16-AH23)/N6*1000</f>
        <v>1</v>
      </c>
      <c r="AI20" s="8">
        <f>IF(AH20&lt;0,0,AH20)</f>
        <v>1</v>
      </c>
    </row>
    <row r="21" spans="1:35" ht="20.25" x14ac:dyDescent="0.35">
      <c r="A21" s="14" t="s">
        <v>30</v>
      </c>
      <c r="B21" s="8"/>
      <c r="C21" s="8"/>
      <c r="D21" s="8"/>
      <c r="E21" s="8"/>
      <c r="F21" s="8"/>
      <c r="G21" s="8"/>
      <c r="H21" s="8"/>
      <c r="I21" s="18"/>
      <c r="S21" s="8"/>
      <c r="T21" s="8"/>
      <c r="AA21" s="8"/>
      <c r="AD21" s="14" t="s">
        <v>26</v>
      </c>
      <c r="AH21" s="2">
        <f>(AH16-AH14)/AH15</f>
        <v>160</v>
      </c>
    </row>
    <row r="22" spans="1:35" ht="18.75" x14ac:dyDescent="0.3">
      <c r="A22" s="8"/>
      <c r="B22" s="8"/>
      <c r="C22" s="8"/>
      <c r="D22" s="8"/>
      <c r="E22" s="8"/>
      <c r="F22" s="8"/>
      <c r="G22" s="8"/>
      <c r="H22" s="8"/>
      <c r="I22" s="18"/>
      <c r="J22" s="19"/>
      <c r="AD22" s="14" t="s">
        <v>27</v>
      </c>
      <c r="AH22" s="8"/>
    </row>
    <row r="23" spans="1:35" x14ac:dyDescent="0.25">
      <c r="A23" s="8" t="s">
        <v>4</v>
      </c>
      <c r="AH23" s="8">
        <f>IF(N7&lt;AH14,AH14,N7)</f>
        <v>900</v>
      </c>
    </row>
    <row r="26" spans="1:35" x14ac:dyDescent="0.25">
      <c r="S26" s="8"/>
      <c r="T26" s="8"/>
      <c r="AA26" s="8"/>
    </row>
    <row r="27" spans="1:35" x14ac:dyDescent="0.25">
      <c r="S27" s="8"/>
      <c r="T27" s="8"/>
      <c r="AA27" s="8"/>
    </row>
    <row r="28" spans="1:35" x14ac:dyDescent="0.25">
      <c r="S28" s="8"/>
    </row>
    <row r="29" spans="1:35" x14ac:dyDescent="0.25">
      <c r="S29" s="8"/>
    </row>
    <row r="30" spans="1:35" x14ac:dyDescent="0.25">
      <c r="A30" s="20" t="s">
        <v>3</v>
      </c>
      <c r="B30" s="18"/>
      <c r="S30" s="8"/>
    </row>
    <row r="31" spans="1:35" x14ac:dyDescent="0.25">
      <c r="S31" s="8"/>
    </row>
  </sheetData>
  <sheetProtection algorithmName="SHA-512" hashValue="jYYDyyOJDIQ3I/ygB7rXDUpgYqOHQZWhaK6yWU3jZxZjvuKfaTLQPOPsRGBKogNXeucGtBXl7XvomsxtMTDGcw==" saltValue="38dTPXOfn6S4FV25FvlZrA==" spinCount="100000" sheet="1" objects="1" scenarios="1"/>
  <hyperlinks>
    <hyperlink ref="A30" r:id="rId1" xr:uid="{00000000-0004-0000-0100-000000000000}"/>
  </hyperlinks>
  <pageMargins left="0.7" right="0.7" top="0.75" bottom="0.75" header="0.3" footer="0.3"/>
  <pageSetup paperSize="9" orientation="portrait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35"/>
  <sheetViews>
    <sheetView workbookViewId="0"/>
  </sheetViews>
  <sheetFormatPr defaultRowHeight="15" x14ac:dyDescent="0.25"/>
  <cols>
    <col min="1" max="1" width="11.85546875" style="9" customWidth="1"/>
    <col min="2" max="2" width="2.5703125" style="9" bestFit="1" customWidth="1"/>
    <col min="3" max="3" width="7.140625" style="9" customWidth="1"/>
    <col min="4" max="4" width="6.7109375" style="9" customWidth="1"/>
    <col min="5" max="5" width="2.7109375" style="9" customWidth="1"/>
    <col min="6" max="6" width="5.5703125" style="9" customWidth="1"/>
    <col min="7" max="7" width="9.140625" style="9"/>
    <col min="8" max="8" width="6.140625" style="9" customWidth="1"/>
    <col min="9" max="9" width="5.85546875" style="9" customWidth="1"/>
    <col min="10" max="10" width="4.28515625" style="9" customWidth="1"/>
    <col min="11" max="11" width="4.140625" style="9" customWidth="1"/>
    <col min="12" max="12" width="3.85546875" style="9" customWidth="1"/>
    <col min="13" max="13" width="2.28515625" style="9" customWidth="1"/>
    <col min="14" max="14" width="11.7109375" style="9" customWidth="1"/>
    <col min="15" max="15" width="2.5703125" style="9" customWidth="1"/>
    <col min="16" max="16" width="4.5703125" style="9" customWidth="1"/>
    <col min="17" max="17" width="2.140625" style="9" customWidth="1"/>
    <col min="18" max="18" width="2.28515625" style="9" customWidth="1"/>
    <col min="19" max="19" width="9.140625" style="9"/>
    <col min="20" max="20" width="7.140625" style="9" customWidth="1"/>
    <col min="21" max="23" width="6.28515625" style="9" customWidth="1"/>
    <col min="24" max="24" width="18" style="9" bestFit="1" customWidth="1"/>
    <col min="25" max="25" width="7.85546875" style="9" customWidth="1"/>
    <col min="26" max="26" width="9.140625" style="9" hidden="1" customWidth="1"/>
    <col min="27" max="27" width="27.7109375" style="9" hidden="1" customWidth="1"/>
    <col min="28" max="28" width="9.140625" style="9" hidden="1" customWidth="1"/>
    <col min="29" max="29" width="8" style="9" customWidth="1"/>
    <col min="30" max="30" width="9.140625" style="9"/>
    <col min="31" max="31" width="0" style="9" hidden="1" customWidth="1"/>
    <col min="32" max="32" width="9.140625" style="9" hidden="1" customWidth="1"/>
    <col min="33" max="33" width="17.42578125" style="9" hidden="1" customWidth="1"/>
    <col min="34" max="34" width="9.140625" style="9" hidden="1" customWidth="1"/>
    <col min="35" max="35" width="14.42578125" style="9" hidden="1" customWidth="1"/>
    <col min="36" max="36" width="9.140625" style="9" hidden="1" customWidth="1"/>
    <col min="37" max="37" width="13.140625" style="9" hidden="1" customWidth="1"/>
    <col min="38" max="16384" width="9.140625" style="9"/>
  </cols>
  <sheetData>
    <row r="1" spans="1:36" ht="26.25" x14ac:dyDescent="0.4">
      <c r="A1" s="7" t="s">
        <v>45</v>
      </c>
      <c r="B1" s="8"/>
      <c r="C1" s="8"/>
    </row>
    <row r="2" spans="1:36" ht="15.75" x14ac:dyDescent="0.25">
      <c r="A2" s="10" t="s">
        <v>49</v>
      </c>
      <c r="B2" s="5"/>
      <c r="C2" s="5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36" ht="15.75" x14ac:dyDescent="0.25">
      <c r="A3" s="10" t="s">
        <v>54</v>
      </c>
      <c r="B3" s="5"/>
      <c r="C3" s="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36" ht="15.75" x14ac:dyDescent="0.25">
      <c r="A4" s="10" t="s">
        <v>55</v>
      </c>
      <c r="B4" s="5"/>
      <c r="C4" s="5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36" ht="15.75" x14ac:dyDescent="0.25">
      <c r="A5" s="10" t="s">
        <v>47</v>
      </c>
      <c r="B5" s="5"/>
      <c r="C5" s="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36" ht="15.75" x14ac:dyDescent="0.25">
      <c r="A6" s="10" t="s">
        <v>46</v>
      </c>
      <c r="B6" s="5"/>
      <c r="C6" s="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36" x14ac:dyDescent="0.25">
      <c r="A7" s="8" t="s">
        <v>37</v>
      </c>
    </row>
    <row r="8" spans="1:36" ht="18.75" x14ac:dyDescent="0.3">
      <c r="A8" s="3" t="s">
        <v>11</v>
      </c>
      <c r="B8" s="4" t="s">
        <v>0</v>
      </c>
      <c r="C8" s="1">
        <v>0.8</v>
      </c>
      <c r="D8" s="4" t="s">
        <v>39</v>
      </c>
      <c r="E8" s="4" t="s">
        <v>1</v>
      </c>
      <c r="F8" s="1">
        <v>80</v>
      </c>
      <c r="G8" s="12"/>
      <c r="H8" s="4" t="s">
        <v>15</v>
      </c>
      <c r="I8" s="4"/>
      <c r="J8" s="13"/>
      <c r="K8" s="4"/>
      <c r="L8" s="4"/>
      <c r="M8" s="4"/>
      <c r="N8" s="6">
        <v>100000</v>
      </c>
      <c r="O8" s="4"/>
      <c r="P8" s="4"/>
      <c r="Q8" s="4"/>
      <c r="R8" s="4"/>
    </row>
    <row r="9" spans="1:36" ht="18.75" x14ac:dyDescent="0.3">
      <c r="A9" s="3" t="s">
        <v>6</v>
      </c>
      <c r="B9" s="4" t="s">
        <v>0</v>
      </c>
      <c r="C9" s="1">
        <v>50</v>
      </c>
      <c r="D9" s="4"/>
      <c r="E9" s="4"/>
      <c r="F9" s="4"/>
      <c r="H9" s="4" t="s">
        <v>32</v>
      </c>
      <c r="I9" s="4"/>
      <c r="J9" s="4"/>
      <c r="N9" s="1">
        <v>900</v>
      </c>
      <c r="O9" s="4"/>
      <c r="P9" s="4"/>
      <c r="Q9" s="4"/>
      <c r="Z9" s="17"/>
      <c r="AA9" s="17"/>
      <c r="AB9" s="17"/>
      <c r="AC9" s="8" t="s">
        <v>16</v>
      </c>
    </row>
    <row r="10" spans="1:36" ht="18.75" x14ac:dyDescent="0.3">
      <c r="A10" s="3" t="s">
        <v>40</v>
      </c>
      <c r="B10" s="4" t="s">
        <v>0</v>
      </c>
      <c r="C10" s="1">
        <v>0.25</v>
      </c>
      <c r="D10" s="4" t="s">
        <v>5</v>
      </c>
      <c r="E10" s="4"/>
      <c r="F10" s="4"/>
      <c r="H10" s="4" t="s">
        <v>14</v>
      </c>
      <c r="I10" s="4"/>
      <c r="J10" s="13"/>
      <c r="K10" s="4"/>
      <c r="L10" s="4"/>
      <c r="M10" s="4"/>
      <c r="N10" s="4">
        <f>10/N8*100000</f>
        <v>10</v>
      </c>
      <c r="O10" s="4"/>
      <c r="P10" s="4"/>
      <c r="Q10" s="4"/>
      <c r="Z10" s="17"/>
      <c r="AA10" s="17"/>
      <c r="AB10" s="17"/>
      <c r="AC10" s="8"/>
    </row>
    <row r="11" spans="1:36" ht="18.75" x14ac:dyDescent="0.3">
      <c r="A11" s="3" t="s">
        <v>41</v>
      </c>
      <c r="B11" s="4" t="s">
        <v>0</v>
      </c>
      <c r="C11" s="1">
        <v>110</v>
      </c>
      <c r="D11" s="4"/>
      <c r="E11" s="4"/>
      <c r="F11" s="4"/>
      <c r="H11" s="4"/>
      <c r="I11" s="4"/>
      <c r="J11" s="13"/>
      <c r="K11" s="4"/>
      <c r="L11" s="4"/>
      <c r="M11" s="4"/>
      <c r="N11" s="4"/>
      <c r="O11" s="4"/>
      <c r="P11" s="4"/>
      <c r="Q11" s="4"/>
      <c r="Z11" s="17"/>
      <c r="AA11" s="17"/>
      <c r="AB11" s="17"/>
      <c r="AC11" s="8"/>
    </row>
    <row r="12" spans="1:36" ht="18.75" x14ac:dyDescent="0.3">
      <c r="A12" s="3" t="s">
        <v>7</v>
      </c>
      <c r="B12" s="4" t="s">
        <v>0</v>
      </c>
      <c r="C12" s="3" t="s">
        <v>42</v>
      </c>
      <c r="D12" s="4" t="s">
        <v>43</v>
      </c>
      <c r="E12" s="4"/>
      <c r="F12" s="5"/>
      <c r="G12" s="12"/>
      <c r="O12" s="4"/>
      <c r="P12" s="4"/>
      <c r="Q12" s="4"/>
      <c r="AC12" s="8">
        <v>0</v>
      </c>
    </row>
    <row r="13" spans="1:36" x14ac:dyDescent="0.25">
      <c r="H13" s="25" t="str">
        <f>IF(N9&lt;AJ18,"Productiecapaciteit is lager dan de productie!","")</f>
        <v/>
      </c>
      <c r="I13" s="25"/>
      <c r="J13" s="25"/>
      <c r="K13" s="25"/>
      <c r="L13" s="24"/>
      <c r="M13" s="24"/>
      <c r="N13" s="24"/>
      <c r="O13" s="24"/>
      <c r="AC13" s="8">
        <f t="shared" ref="AC13:AC22" si="0">S17/$N$8*1000</f>
        <v>1</v>
      </c>
    </row>
    <row r="14" spans="1:36" ht="15.75" x14ac:dyDescent="0.25">
      <c r="A14" s="5" t="s">
        <v>2</v>
      </c>
      <c r="B14" s="8"/>
      <c r="C14" s="8"/>
      <c r="D14" s="8"/>
      <c r="E14" s="8"/>
      <c r="F14" s="8"/>
      <c r="G14" s="8"/>
      <c r="H14" s="25" t="str">
        <f>IF(N9&lt;AJ18,"Vul minstens","")</f>
        <v/>
      </c>
      <c r="I14" s="25"/>
      <c r="J14" s="26" t="str">
        <f>IF(N9&lt;AJ18,AJ18,"")</f>
        <v/>
      </c>
      <c r="K14" s="25" t="str">
        <f>IF(N9&lt;AJ18,"in","")</f>
        <v/>
      </c>
      <c r="AC14" s="8">
        <f t="shared" si="0"/>
        <v>2</v>
      </c>
    </row>
    <row r="15" spans="1:36" ht="18.75" x14ac:dyDescent="0.3">
      <c r="A15" s="14" t="s">
        <v>17</v>
      </c>
      <c r="B15" s="8"/>
      <c r="C15" s="8"/>
      <c r="D15" s="8"/>
      <c r="E15" s="8"/>
      <c r="F15" s="8"/>
      <c r="G15" s="8"/>
      <c r="H15" s="8"/>
      <c r="L15" s="15"/>
      <c r="N15" s="21"/>
      <c r="P15" s="19" t="str">
        <f t="shared" ref="P15:P21" si="1">IF(N15&lt;&gt;"",IF(N15=ROUND(AJ16,2),"GOED","FOUT"),"")</f>
        <v/>
      </c>
      <c r="S15" s="16" t="s">
        <v>10</v>
      </c>
      <c r="T15" s="16" t="s">
        <v>12</v>
      </c>
      <c r="U15" s="16" t="s">
        <v>9</v>
      </c>
      <c r="V15" s="16" t="s">
        <v>41</v>
      </c>
      <c r="W15" s="16" t="s">
        <v>40</v>
      </c>
      <c r="X15" s="16" t="s">
        <v>66</v>
      </c>
      <c r="Y15" s="16" t="s">
        <v>13</v>
      </c>
      <c r="Z15" s="8"/>
      <c r="AA15" s="8"/>
      <c r="AB15" s="8"/>
      <c r="AC15" s="8">
        <f t="shared" si="0"/>
        <v>3</v>
      </c>
      <c r="AG15" s="8"/>
      <c r="AH15" s="8"/>
    </row>
    <row r="16" spans="1:36" ht="18.75" x14ac:dyDescent="0.3">
      <c r="A16" s="14" t="s">
        <v>29</v>
      </c>
      <c r="B16" s="8"/>
      <c r="C16" s="8"/>
      <c r="D16" s="8"/>
      <c r="E16" s="8"/>
      <c r="F16" s="8"/>
      <c r="G16" s="8"/>
      <c r="H16" s="8"/>
      <c r="L16" s="15"/>
      <c r="N16" s="21"/>
      <c r="P16" s="19" t="str">
        <f t="shared" si="1"/>
        <v/>
      </c>
      <c r="S16" s="8">
        <v>0</v>
      </c>
      <c r="T16" s="8">
        <f>F8</f>
        <v>80</v>
      </c>
      <c r="U16" s="8">
        <f>$C$9</f>
        <v>50</v>
      </c>
      <c r="V16" s="8">
        <f>$C$11</f>
        <v>110</v>
      </c>
      <c r="W16" s="8">
        <f>$C$10*S16</f>
        <v>0</v>
      </c>
      <c r="X16" s="8">
        <f>T16+U16+V16</f>
        <v>240</v>
      </c>
      <c r="Y16" s="8">
        <f t="shared" ref="Y16:Y26" si="2">S16</f>
        <v>0</v>
      </c>
      <c r="Z16" s="8"/>
      <c r="AA16" s="8"/>
      <c r="AB16" s="8"/>
      <c r="AC16" s="8">
        <f t="shared" si="0"/>
        <v>4</v>
      </c>
      <c r="AF16" s="14" t="s">
        <v>17</v>
      </c>
      <c r="AG16" s="8"/>
      <c r="AH16" s="8"/>
      <c r="AJ16" s="2">
        <f>C8</f>
        <v>0.8</v>
      </c>
    </row>
    <row r="17" spans="1:37" ht="18.75" x14ac:dyDescent="0.3">
      <c r="A17" s="14" t="s">
        <v>19</v>
      </c>
      <c r="B17" s="8"/>
      <c r="C17" s="8"/>
      <c r="D17" s="8"/>
      <c r="E17" s="8"/>
      <c r="F17" s="8"/>
      <c r="G17" s="8"/>
      <c r="H17" s="8"/>
      <c r="L17" s="15"/>
      <c r="N17" s="21"/>
      <c r="P17" s="19" t="str">
        <f t="shared" si="1"/>
        <v/>
      </c>
      <c r="S17" s="8">
        <v>100</v>
      </c>
      <c r="T17" s="8">
        <f>(S17-S17*$C$10)*$C$8+$F$8</f>
        <v>140</v>
      </c>
      <c r="U17" s="8">
        <f t="shared" ref="U17:U26" si="3">$C$9</f>
        <v>50</v>
      </c>
      <c r="V17" s="8">
        <f t="shared" ref="V17:V26" si="4">$C$11</f>
        <v>110</v>
      </c>
      <c r="W17" s="8">
        <f t="shared" ref="W17:W26" si="5">$C$10*S17</f>
        <v>25</v>
      </c>
      <c r="X17" s="8">
        <f t="shared" ref="X17:X26" si="6">T17+U17+V17</f>
        <v>300</v>
      </c>
      <c r="Y17" s="8">
        <f t="shared" si="2"/>
        <v>100</v>
      </c>
      <c r="Z17" s="8"/>
      <c r="AA17" s="8"/>
      <c r="AB17" s="8"/>
      <c r="AC17" s="8">
        <f t="shared" si="0"/>
        <v>5</v>
      </c>
      <c r="AF17" s="14" t="s">
        <v>18</v>
      </c>
      <c r="AG17" s="8"/>
      <c r="AH17" s="8"/>
      <c r="AJ17" s="2">
        <f>(((AJ18-$C$10*AJ18)*C8)+F8)/AJ18</f>
        <v>0.73333333333333328</v>
      </c>
    </row>
    <row r="18" spans="1:37" ht="18.75" x14ac:dyDescent="0.3">
      <c r="A18" s="14" t="s">
        <v>21</v>
      </c>
      <c r="B18" s="8"/>
      <c r="C18" s="8"/>
      <c r="D18" s="8"/>
      <c r="E18" s="8"/>
      <c r="F18" s="8"/>
      <c r="G18" s="8"/>
      <c r="H18" s="8"/>
      <c r="L18" s="15"/>
      <c r="N18" s="21"/>
      <c r="P18" s="19" t="str">
        <f t="shared" si="1"/>
        <v/>
      </c>
      <c r="S18" s="8">
        <v>200</v>
      </c>
      <c r="T18" s="8">
        <f t="shared" ref="T18:T26" si="7">(S18-S18*$C$10)*$C$8+$F$8</f>
        <v>200</v>
      </c>
      <c r="U18" s="8">
        <f t="shared" si="3"/>
        <v>50</v>
      </c>
      <c r="V18" s="8">
        <f t="shared" si="4"/>
        <v>110</v>
      </c>
      <c r="W18" s="8">
        <f t="shared" si="5"/>
        <v>50</v>
      </c>
      <c r="X18" s="8">
        <f t="shared" si="6"/>
        <v>360</v>
      </c>
      <c r="Y18" s="8">
        <f t="shared" si="2"/>
        <v>200</v>
      </c>
      <c r="Z18" s="8"/>
      <c r="AA18" s="8"/>
      <c r="AB18" s="8"/>
      <c r="AC18" s="8">
        <f t="shared" si="0"/>
        <v>6</v>
      </c>
      <c r="AF18" s="14" t="s">
        <v>19</v>
      </c>
      <c r="AG18" s="8"/>
      <c r="AH18" s="8"/>
      <c r="AJ18" s="2">
        <f>(F8+C9+C11)/(1-C8+C8*C10)</f>
        <v>600</v>
      </c>
    </row>
    <row r="19" spans="1:37" ht="18.75" x14ac:dyDescent="0.3">
      <c r="A19" s="14" t="s">
        <v>20</v>
      </c>
      <c r="B19" s="8"/>
      <c r="C19" s="8"/>
      <c r="D19" s="8"/>
      <c r="E19" s="8"/>
      <c r="F19" s="8"/>
      <c r="G19" s="8"/>
      <c r="H19" s="8"/>
      <c r="L19" s="15"/>
      <c r="N19" s="21"/>
      <c r="P19" s="19" t="str">
        <f t="shared" si="1"/>
        <v/>
      </c>
      <c r="S19" s="8">
        <v>300</v>
      </c>
      <c r="T19" s="8">
        <f t="shared" si="7"/>
        <v>260</v>
      </c>
      <c r="U19" s="8">
        <f t="shared" si="3"/>
        <v>50</v>
      </c>
      <c r="V19" s="8">
        <f t="shared" si="4"/>
        <v>110</v>
      </c>
      <c r="W19" s="8">
        <f t="shared" si="5"/>
        <v>75</v>
      </c>
      <c r="X19" s="8">
        <f t="shared" si="6"/>
        <v>420</v>
      </c>
      <c r="Y19" s="8">
        <f t="shared" si="2"/>
        <v>300</v>
      </c>
      <c r="Z19" s="8"/>
      <c r="AA19" s="8"/>
      <c r="AB19" s="8"/>
      <c r="AC19" s="8">
        <f t="shared" si="0"/>
        <v>7</v>
      </c>
      <c r="AF19" s="14" t="s">
        <v>21</v>
      </c>
      <c r="AG19" s="8"/>
      <c r="AH19" s="8"/>
      <c r="AJ19" s="2">
        <f>1/(1-C8+C8*C10)</f>
        <v>2.5</v>
      </c>
    </row>
    <row r="20" spans="1:37" ht="18.75" x14ac:dyDescent="0.3">
      <c r="A20" s="14" t="s">
        <v>33</v>
      </c>
      <c r="L20" s="15"/>
      <c r="N20" s="21"/>
      <c r="P20" s="19" t="str">
        <f t="shared" si="1"/>
        <v/>
      </c>
      <c r="S20" s="8">
        <v>400</v>
      </c>
      <c r="T20" s="8">
        <f t="shared" si="7"/>
        <v>320</v>
      </c>
      <c r="U20" s="8">
        <f t="shared" si="3"/>
        <v>50</v>
      </c>
      <c r="V20" s="8">
        <f t="shared" si="4"/>
        <v>110</v>
      </c>
      <c r="W20" s="8">
        <f t="shared" si="5"/>
        <v>100</v>
      </c>
      <c r="X20" s="8">
        <f t="shared" si="6"/>
        <v>480</v>
      </c>
      <c r="Y20" s="8">
        <f t="shared" si="2"/>
        <v>400</v>
      </c>
      <c r="Z20" s="8"/>
      <c r="AA20" s="8"/>
      <c r="AB20" s="8"/>
      <c r="AC20" s="8">
        <f t="shared" si="0"/>
        <v>8</v>
      </c>
      <c r="AF20" s="14" t="s">
        <v>20</v>
      </c>
      <c r="AH20" s="8"/>
      <c r="AJ20" s="2">
        <f>(N8*N10)/1000</f>
        <v>1000</v>
      </c>
    </row>
    <row r="21" spans="1:37" ht="18.75" x14ac:dyDescent="0.3">
      <c r="A21" s="14" t="s">
        <v>34</v>
      </c>
      <c r="L21" s="15"/>
      <c r="N21" s="21"/>
      <c r="P21" s="19" t="str">
        <f t="shared" si="1"/>
        <v/>
      </c>
      <c r="S21" s="8">
        <v>500</v>
      </c>
      <c r="T21" s="8">
        <f t="shared" si="7"/>
        <v>380</v>
      </c>
      <c r="U21" s="8">
        <f t="shared" si="3"/>
        <v>50</v>
      </c>
      <c r="V21" s="8">
        <f t="shared" si="4"/>
        <v>110</v>
      </c>
      <c r="W21" s="8">
        <f t="shared" si="5"/>
        <v>125</v>
      </c>
      <c r="X21" s="8">
        <f t="shared" si="6"/>
        <v>540</v>
      </c>
      <c r="Y21" s="8">
        <f t="shared" si="2"/>
        <v>500</v>
      </c>
      <c r="Z21" s="8"/>
      <c r="AA21" s="8"/>
      <c r="AB21" s="8"/>
      <c r="AC21" s="8">
        <f t="shared" si="0"/>
        <v>9</v>
      </c>
      <c r="AF21" s="14" t="s">
        <v>22</v>
      </c>
      <c r="AH21" s="8"/>
      <c r="AJ21" s="2">
        <f>AJ18/N8*1000</f>
        <v>6</v>
      </c>
    </row>
    <row r="22" spans="1:37" ht="18.75" x14ac:dyDescent="0.3">
      <c r="A22" s="14" t="s">
        <v>35</v>
      </c>
      <c r="B22" s="8"/>
      <c r="C22" s="8"/>
      <c r="D22" s="8"/>
      <c r="E22" s="8"/>
      <c r="F22" s="8"/>
      <c r="G22" s="8"/>
      <c r="H22" s="8"/>
      <c r="L22" s="15"/>
      <c r="N22" s="21"/>
      <c r="P22" s="19" t="str">
        <f>IF(N22&lt;&gt;"",IF(N22=ROUND(AK23,2),"GOED","FOUT"),"")</f>
        <v/>
      </c>
      <c r="S22" s="8">
        <v>600</v>
      </c>
      <c r="T22" s="8">
        <f t="shared" si="7"/>
        <v>440</v>
      </c>
      <c r="U22" s="8">
        <f t="shared" si="3"/>
        <v>50</v>
      </c>
      <c r="V22" s="8">
        <f t="shared" si="4"/>
        <v>110</v>
      </c>
      <c r="W22" s="8">
        <f t="shared" si="5"/>
        <v>150</v>
      </c>
      <c r="X22" s="8">
        <f t="shared" si="6"/>
        <v>600</v>
      </c>
      <c r="Y22" s="8">
        <f t="shared" si="2"/>
        <v>600</v>
      </c>
      <c r="Z22" s="8"/>
      <c r="AA22" s="8"/>
      <c r="AB22" s="8"/>
      <c r="AC22" s="8">
        <f t="shared" si="0"/>
        <v>10</v>
      </c>
      <c r="AF22" s="14" t="s">
        <v>23</v>
      </c>
      <c r="AG22" s="8"/>
      <c r="AH22" s="8"/>
      <c r="AJ22" s="2">
        <f>(N10-AJ21)</f>
        <v>4</v>
      </c>
    </row>
    <row r="23" spans="1:37" ht="18.75" x14ac:dyDescent="0.3">
      <c r="A23" s="14" t="s">
        <v>25</v>
      </c>
      <c r="B23" s="8"/>
      <c r="C23" s="8"/>
      <c r="D23" s="8"/>
      <c r="E23" s="8"/>
      <c r="F23" s="8"/>
      <c r="G23" s="8"/>
      <c r="H23" s="8"/>
      <c r="L23" s="15"/>
      <c r="N23" s="22"/>
      <c r="P23" s="19" t="str">
        <f>IF(N23&lt;&gt;"",IF(N23=ROUND(AK24,2),"GOED","FOUT"),"")</f>
        <v/>
      </c>
      <c r="S23" s="8">
        <v>700</v>
      </c>
      <c r="T23" s="8">
        <f t="shared" si="7"/>
        <v>500</v>
      </c>
      <c r="U23" s="8">
        <f t="shared" si="3"/>
        <v>50</v>
      </c>
      <c r="V23" s="8">
        <f t="shared" si="4"/>
        <v>110</v>
      </c>
      <c r="W23" s="8">
        <f t="shared" si="5"/>
        <v>175</v>
      </c>
      <c r="X23" s="8">
        <f t="shared" si="6"/>
        <v>660</v>
      </c>
      <c r="Y23" s="8">
        <f t="shared" si="2"/>
        <v>700</v>
      </c>
      <c r="AC23" s="8"/>
      <c r="AF23" s="14" t="s">
        <v>24</v>
      </c>
      <c r="AG23" s="8"/>
      <c r="AH23" s="8"/>
      <c r="AJ23" s="2">
        <f>(AJ27-AJ18)/N8*1000</f>
        <v>3</v>
      </c>
      <c r="AK23" s="8">
        <f>IF(AJ22&lt;AJ23,AJ22,AJ23)</f>
        <v>3</v>
      </c>
    </row>
    <row r="24" spans="1:37" ht="20.25" x14ac:dyDescent="0.35">
      <c r="A24" s="14" t="s">
        <v>65</v>
      </c>
      <c r="B24" s="8"/>
      <c r="C24" s="8"/>
      <c r="D24" s="8"/>
      <c r="E24" s="8"/>
      <c r="F24" s="8"/>
      <c r="G24" s="8"/>
      <c r="H24" s="8"/>
      <c r="L24" s="15"/>
      <c r="N24" s="23"/>
      <c r="P24" s="19" t="str">
        <f>IF(N24&lt;&gt;"",IF(N24=ROUND(AJ25,2),"GOED","FOUT"),"")</f>
        <v/>
      </c>
      <c r="S24" s="8">
        <v>800</v>
      </c>
      <c r="T24" s="8">
        <f t="shared" si="7"/>
        <v>560</v>
      </c>
      <c r="U24" s="8">
        <f t="shared" si="3"/>
        <v>50</v>
      </c>
      <c r="V24" s="8">
        <f t="shared" si="4"/>
        <v>110</v>
      </c>
      <c r="W24" s="8">
        <f t="shared" si="5"/>
        <v>200</v>
      </c>
      <c r="X24" s="8">
        <f t="shared" si="6"/>
        <v>720</v>
      </c>
      <c r="Y24" s="8">
        <f t="shared" si="2"/>
        <v>800</v>
      </c>
      <c r="AC24" s="8"/>
      <c r="AF24" s="14" t="s">
        <v>25</v>
      </c>
      <c r="AG24" s="8"/>
      <c r="AH24" s="8"/>
      <c r="AJ24" s="2">
        <f>(AJ20-AJ27)/N8*1000</f>
        <v>1</v>
      </c>
      <c r="AK24" s="8">
        <f>IF(AJ24&lt;0,0,AJ24)</f>
        <v>1</v>
      </c>
    </row>
    <row r="25" spans="1:37" ht="20.25" x14ac:dyDescent="0.35">
      <c r="A25" s="14" t="s">
        <v>30</v>
      </c>
      <c r="B25" s="8"/>
      <c r="C25" s="8"/>
      <c r="D25" s="8"/>
      <c r="E25" s="8"/>
      <c r="F25" s="8"/>
      <c r="G25" s="8"/>
      <c r="H25" s="8"/>
      <c r="I25" s="18"/>
      <c r="S25" s="8">
        <v>900</v>
      </c>
      <c r="T25" s="8">
        <f t="shared" si="7"/>
        <v>620</v>
      </c>
      <c r="U25" s="8">
        <f t="shared" si="3"/>
        <v>50</v>
      </c>
      <c r="V25" s="8">
        <f t="shared" si="4"/>
        <v>110</v>
      </c>
      <c r="W25" s="8">
        <f t="shared" si="5"/>
        <v>225</v>
      </c>
      <c r="X25" s="8">
        <f t="shared" si="6"/>
        <v>780</v>
      </c>
      <c r="Y25" s="8">
        <f t="shared" si="2"/>
        <v>900</v>
      </c>
      <c r="AC25" s="8"/>
      <c r="AF25" s="14" t="s">
        <v>44</v>
      </c>
      <c r="AJ25" s="2">
        <f>(AJ20-AJ18)/AJ19</f>
        <v>160</v>
      </c>
    </row>
    <row r="26" spans="1:37" ht="18.75" x14ac:dyDescent="0.3">
      <c r="A26" s="8"/>
      <c r="B26" s="8"/>
      <c r="C26" s="8"/>
      <c r="D26" s="8"/>
      <c r="E26" s="8"/>
      <c r="F26" s="8"/>
      <c r="G26" s="8"/>
      <c r="H26" s="8"/>
      <c r="I26" s="18"/>
      <c r="J26" s="19"/>
      <c r="S26" s="8">
        <v>1000</v>
      </c>
      <c r="T26" s="8">
        <f t="shared" si="7"/>
        <v>680</v>
      </c>
      <c r="U26" s="8">
        <f t="shared" si="3"/>
        <v>50</v>
      </c>
      <c r="V26" s="8">
        <f t="shared" si="4"/>
        <v>110</v>
      </c>
      <c r="W26" s="8">
        <f t="shared" si="5"/>
        <v>250</v>
      </c>
      <c r="X26" s="8">
        <f t="shared" si="6"/>
        <v>840</v>
      </c>
      <c r="Y26" s="8">
        <f t="shared" si="2"/>
        <v>1000</v>
      </c>
      <c r="AF26" s="14" t="s">
        <v>27</v>
      </c>
      <c r="AJ26" s="8"/>
    </row>
    <row r="27" spans="1:37" x14ac:dyDescent="0.25">
      <c r="A27" s="8" t="s">
        <v>4</v>
      </c>
      <c r="AJ27" s="8">
        <f>IF(N9&lt;AJ18,AJ18,N9)</f>
        <v>900</v>
      </c>
    </row>
    <row r="30" spans="1:37" x14ac:dyDescent="0.25">
      <c r="A30" s="20" t="s">
        <v>3</v>
      </c>
      <c r="B30" s="18"/>
      <c r="S30" s="8"/>
      <c r="T30" s="8"/>
      <c r="AC30" s="8"/>
    </row>
    <row r="31" spans="1:37" x14ac:dyDescent="0.25">
      <c r="S31" s="8"/>
      <c r="T31" s="8"/>
      <c r="AC31" s="8"/>
    </row>
    <row r="32" spans="1:37" x14ac:dyDescent="0.25">
      <c r="S32" s="8"/>
    </row>
    <row r="33" spans="19:19" x14ac:dyDescent="0.25">
      <c r="S33" s="8"/>
    </row>
    <row r="34" spans="19:19" x14ac:dyDescent="0.25">
      <c r="S34" s="8"/>
    </row>
    <row r="35" spans="19:19" x14ac:dyDescent="0.25">
      <c r="S35" s="8"/>
    </row>
  </sheetData>
  <sheetProtection algorithmName="SHA-512" hashValue="EX9HxhsenZxpvqYMCFHqF0StblK10Be7nheGuOk4ELwPy2eZ/a+Th1MLYqsivFhmMypm+6owsbsorB+7JkiiFg==" saltValue="DdW7aGFy1tbMvumsws1wTg==" spinCount="100000" sheet="1" objects="1" scenarios="1"/>
  <hyperlinks>
    <hyperlink ref="A30" r:id="rId1" xr:uid="{00000000-0004-0000-0200-000000000000}"/>
  </hyperlinks>
  <pageMargins left="0.7" right="0.7" top="0.75" bottom="0.75" header="0.3" footer="0.3"/>
  <pageSetup paperSize="9" orientation="portrait" verticalDpi="3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37"/>
  <sheetViews>
    <sheetView workbookViewId="0"/>
  </sheetViews>
  <sheetFormatPr defaultRowHeight="15" x14ac:dyDescent="0.25"/>
  <cols>
    <col min="1" max="1" width="11.85546875" style="9" customWidth="1"/>
    <col min="2" max="2" width="2.5703125" style="9" bestFit="1" customWidth="1"/>
    <col min="3" max="3" width="7.140625" style="9" customWidth="1"/>
    <col min="4" max="4" width="7.42578125" style="9" customWidth="1"/>
    <col min="5" max="5" width="2.7109375" style="9" customWidth="1"/>
    <col min="6" max="6" width="5.5703125" style="9" customWidth="1"/>
    <col min="7" max="7" width="9.140625" style="9"/>
    <col min="8" max="8" width="6.140625" style="9" customWidth="1"/>
    <col min="9" max="9" width="5.85546875" style="9" customWidth="1"/>
    <col min="10" max="10" width="4.28515625" style="9" customWidth="1"/>
    <col min="11" max="11" width="4.140625" style="9" customWidth="1"/>
    <col min="12" max="12" width="3.85546875" style="9" customWidth="1"/>
    <col min="13" max="13" width="2.28515625" style="9" customWidth="1"/>
    <col min="14" max="14" width="11.7109375" style="9" customWidth="1"/>
    <col min="15" max="15" width="2.5703125" style="9" customWidth="1"/>
    <col min="16" max="16" width="4.5703125" style="9" customWidth="1"/>
    <col min="17" max="17" width="2.140625" style="9" customWidth="1"/>
    <col min="18" max="18" width="2.28515625" style="9" customWidth="1"/>
    <col min="19" max="19" width="9.140625" style="9"/>
    <col min="20" max="20" width="7.140625" style="9" customWidth="1"/>
    <col min="21" max="25" width="6.28515625" style="9" customWidth="1"/>
    <col min="26" max="26" width="15.85546875" style="9" customWidth="1"/>
    <col min="27" max="27" width="7.85546875" style="9" customWidth="1"/>
    <col min="28" max="28" width="9.140625" style="9" hidden="1" customWidth="1"/>
    <col min="29" max="29" width="27.7109375" style="9" hidden="1" customWidth="1"/>
    <col min="30" max="30" width="9.140625" style="9" hidden="1" customWidth="1"/>
    <col min="31" max="31" width="8" style="9" customWidth="1"/>
    <col min="32" max="32" width="9.140625" style="9"/>
    <col min="33" max="34" width="9.140625" style="9" hidden="1" customWidth="1"/>
    <col min="35" max="35" width="17.42578125" style="9" hidden="1" customWidth="1"/>
    <col min="36" max="36" width="9.140625" style="9" hidden="1" customWidth="1"/>
    <col min="37" max="37" width="14.42578125" style="9" hidden="1" customWidth="1"/>
    <col min="38" max="38" width="9.140625" style="9" hidden="1" customWidth="1"/>
    <col min="39" max="39" width="13.140625" style="9" hidden="1" customWidth="1"/>
    <col min="40" max="16384" width="9.140625" style="9"/>
  </cols>
  <sheetData>
    <row r="1" spans="1:31" ht="26.25" x14ac:dyDescent="0.4">
      <c r="A1" s="7" t="s">
        <v>50</v>
      </c>
      <c r="B1" s="8"/>
      <c r="C1" s="8"/>
    </row>
    <row r="2" spans="1:31" ht="15.75" x14ac:dyDescent="0.25">
      <c r="A2" s="10" t="s">
        <v>51</v>
      </c>
      <c r="B2" s="5"/>
      <c r="C2" s="5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31" ht="15.75" x14ac:dyDescent="0.25">
      <c r="A3" s="10" t="s">
        <v>53</v>
      </c>
      <c r="B3" s="5"/>
      <c r="C3" s="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31" ht="15.75" x14ac:dyDescent="0.25">
      <c r="A4" s="10" t="s">
        <v>55</v>
      </c>
      <c r="B4" s="5"/>
      <c r="C4" s="5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31" ht="15.75" x14ac:dyDescent="0.25">
      <c r="A5" s="10" t="s">
        <v>52</v>
      </c>
      <c r="B5" s="5"/>
      <c r="C5" s="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31" ht="15.75" x14ac:dyDescent="0.25">
      <c r="A6" s="10" t="s">
        <v>46</v>
      </c>
      <c r="B6" s="5"/>
      <c r="C6" s="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31" x14ac:dyDescent="0.25">
      <c r="A7" s="8" t="s">
        <v>37</v>
      </c>
    </row>
    <row r="8" spans="1:31" ht="18.75" x14ac:dyDescent="0.3">
      <c r="A8" s="3" t="s">
        <v>11</v>
      </c>
      <c r="B8" s="4" t="s">
        <v>0</v>
      </c>
      <c r="C8" s="1">
        <v>0.8</v>
      </c>
      <c r="D8" s="4" t="s">
        <v>39</v>
      </c>
      <c r="E8" s="4" t="s">
        <v>1</v>
      </c>
      <c r="F8" s="1">
        <v>80</v>
      </c>
      <c r="G8" s="12"/>
      <c r="H8" s="4" t="s">
        <v>15</v>
      </c>
      <c r="I8" s="4"/>
      <c r="J8" s="13"/>
      <c r="K8" s="4"/>
      <c r="L8" s="4"/>
      <c r="M8" s="4"/>
      <c r="N8" s="6">
        <v>100000</v>
      </c>
      <c r="O8" s="4"/>
      <c r="P8" s="4"/>
      <c r="Q8" s="4"/>
      <c r="R8" s="4"/>
    </row>
    <row r="9" spans="1:31" ht="18.75" x14ac:dyDescent="0.3">
      <c r="A9" s="3" t="s">
        <v>6</v>
      </c>
      <c r="B9" s="4" t="s">
        <v>0</v>
      </c>
      <c r="C9" s="1">
        <v>50</v>
      </c>
      <c r="D9" s="4"/>
      <c r="E9" s="4"/>
      <c r="F9" s="4"/>
      <c r="H9" s="4" t="s">
        <v>32</v>
      </c>
      <c r="I9" s="4"/>
      <c r="J9" s="4"/>
      <c r="N9" s="1">
        <v>900</v>
      </c>
      <c r="O9" s="4"/>
      <c r="P9" s="4"/>
      <c r="Q9" s="4"/>
      <c r="AB9" s="17"/>
      <c r="AC9" s="17"/>
      <c r="AD9" s="17"/>
      <c r="AE9" s="8" t="s">
        <v>16</v>
      </c>
    </row>
    <row r="10" spans="1:31" ht="18.75" x14ac:dyDescent="0.3">
      <c r="A10" s="3" t="s">
        <v>40</v>
      </c>
      <c r="B10" s="4" t="s">
        <v>0</v>
      </c>
      <c r="C10" s="1">
        <v>0.25</v>
      </c>
      <c r="D10" s="4" t="s">
        <v>5</v>
      </c>
      <c r="E10" s="4"/>
      <c r="F10" s="4"/>
      <c r="H10" s="4" t="s">
        <v>14</v>
      </c>
      <c r="I10" s="4"/>
      <c r="J10" s="13"/>
      <c r="K10" s="4"/>
      <c r="L10" s="4"/>
      <c r="M10" s="4"/>
      <c r="N10" s="4">
        <f>10/N8*100000</f>
        <v>10</v>
      </c>
      <c r="O10" s="4"/>
      <c r="P10" s="4"/>
      <c r="Q10" s="4"/>
      <c r="AB10" s="17"/>
      <c r="AC10" s="17"/>
      <c r="AD10" s="17"/>
      <c r="AE10" s="8"/>
    </row>
    <row r="11" spans="1:31" ht="18.75" x14ac:dyDescent="0.3">
      <c r="A11" s="3" t="s">
        <v>41</v>
      </c>
      <c r="B11" s="4" t="s">
        <v>0</v>
      </c>
      <c r="C11" s="1">
        <v>110</v>
      </c>
      <c r="D11" s="4"/>
      <c r="E11" s="4"/>
      <c r="F11" s="4"/>
      <c r="H11" s="4"/>
      <c r="I11" s="4"/>
      <c r="J11" s="13"/>
      <c r="K11" s="4"/>
      <c r="L11" s="4"/>
      <c r="M11" s="4"/>
      <c r="N11" s="4"/>
      <c r="O11" s="4"/>
      <c r="P11" s="4"/>
      <c r="Q11" s="4"/>
      <c r="AB11" s="17"/>
      <c r="AC11" s="17"/>
      <c r="AD11" s="17"/>
      <c r="AE11" s="8"/>
    </row>
    <row r="12" spans="1:31" ht="18.75" x14ac:dyDescent="0.3">
      <c r="A12" s="3" t="s">
        <v>57</v>
      </c>
      <c r="B12" s="4" t="s">
        <v>0</v>
      </c>
      <c r="C12" s="1">
        <v>0.4</v>
      </c>
      <c r="D12" s="4" t="s">
        <v>5</v>
      </c>
      <c r="E12" s="4"/>
      <c r="F12" s="4"/>
      <c r="H12" s="4"/>
      <c r="I12" s="4"/>
      <c r="J12" s="13"/>
      <c r="K12" s="4"/>
      <c r="L12" s="4"/>
      <c r="M12" s="4"/>
      <c r="N12" s="4"/>
      <c r="O12" s="4"/>
      <c r="P12" s="4"/>
      <c r="Q12" s="4"/>
      <c r="AB12" s="17"/>
      <c r="AC12" s="17"/>
      <c r="AD12" s="17"/>
      <c r="AE12" s="8"/>
    </row>
    <row r="13" spans="1:31" ht="18.75" x14ac:dyDescent="0.3">
      <c r="A13" s="3" t="s">
        <v>58</v>
      </c>
      <c r="B13" s="4" t="s">
        <v>0</v>
      </c>
      <c r="C13" s="1">
        <v>240</v>
      </c>
      <c r="D13" s="4"/>
      <c r="E13" s="4"/>
      <c r="F13" s="4"/>
      <c r="H13" s="4"/>
      <c r="I13" s="4"/>
      <c r="J13" s="13"/>
      <c r="K13" s="4"/>
      <c r="L13" s="4"/>
      <c r="M13" s="4"/>
      <c r="N13" s="4"/>
      <c r="O13" s="4"/>
      <c r="P13" s="4"/>
      <c r="Q13" s="4"/>
      <c r="AB13" s="17"/>
      <c r="AC13" s="17"/>
      <c r="AD13" s="17"/>
      <c r="AE13" s="8"/>
    </row>
    <row r="14" spans="1:31" ht="18.75" x14ac:dyDescent="0.3">
      <c r="A14" s="3" t="s">
        <v>7</v>
      </c>
      <c r="B14" s="4" t="s">
        <v>0</v>
      </c>
      <c r="C14" s="3" t="s">
        <v>42</v>
      </c>
      <c r="D14" s="4" t="s">
        <v>60</v>
      </c>
      <c r="E14" s="4" t="s">
        <v>61</v>
      </c>
      <c r="F14" s="5"/>
      <c r="G14" s="12"/>
      <c r="O14" s="4"/>
      <c r="P14" s="4"/>
      <c r="Q14" s="4"/>
      <c r="AE14" s="8">
        <v>0</v>
      </c>
    </row>
    <row r="15" spans="1:31" x14ac:dyDescent="0.25">
      <c r="H15" s="25" t="str">
        <f>IF(N9&lt;AL20,"Productiecapaciteit is lager dan de productie!","")</f>
        <v/>
      </c>
      <c r="I15" s="25"/>
      <c r="J15" s="25"/>
      <c r="K15" s="25"/>
      <c r="L15" s="24"/>
      <c r="M15" s="24"/>
      <c r="N15" s="24"/>
      <c r="O15" s="24"/>
      <c r="AE15" s="8">
        <f t="shared" ref="AE15:AE24" si="0">S19/$N$8*1000</f>
        <v>1</v>
      </c>
    </row>
    <row r="16" spans="1:31" ht="15.75" x14ac:dyDescent="0.25">
      <c r="A16" s="5" t="s">
        <v>2</v>
      </c>
      <c r="B16" s="8"/>
      <c r="C16" s="8"/>
      <c r="D16" s="8"/>
      <c r="E16" s="8"/>
      <c r="F16" s="8"/>
      <c r="G16" s="8"/>
      <c r="H16" s="25" t="str">
        <f>IF(N9&lt;AL20,"Vul minstens","")</f>
        <v/>
      </c>
      <c r="I16" s="25"/>
      <c r="J16" s="26" t="str">
        <f>IF(N9&lt;AL20,AL20,"")</f>
        <v/>
      </c>
      <c r="K16" s="25" t="str">
        <f>IF(N9&lt;AL20,"in","")</f>
        <v/>
      </c>
      <c r="AE16" s="8">
        <f t="shared" si="0"/>
        <v>2</v>
      </c>
    </row>
    <row r="17" spans="1:39" ht="18.75" x14ac:dyDescent="0.3">
      <c r="A17" s="14" t="s">
        <v>17</v>
      </c>
      <c r="B17" s="8"/>
      <c r="C17" s="8"/>
      <c r="D17" s="8"/>
      <c r="E17" s="8"/>
      <c r="F17" s="8"/>
      <c r="G17" s="8"/>
      <c r="H17" s="8"/>
      <c r="L17" s="15"/>
      <c r="N17" s="21"/>
      <c r="P17" s="19" t="str">
        <f t="shared" ref="P17:P23" si="1">IF(N17&lt;&gt;"",IF(N17=ROUND(AL18,2),"GOED","FOUT"),"")</f>
        <v/>
      </c>
      <c r="S17" s="16" t="s">
        <v>10</v>
      </c>
      <c r="T17" s="16" t="s">
        <v>12</v>
      </c>
      <c r="U17" s="16" t="s">
        <v>9</v>
      </c>
      <c r="V17" s="16" t="s">
        <v>41</v>
      </c>
      <c r="W17" s="16" t="s">
        <v>40</v>
      </c>
      <c r="X17" s="16" t="s">
        <v>58</v>
      </c>
      <c r="Y17" s="16" t="s">
        <v>57</v>
      </c>
      <c r="Z17" s="16" t="s">
        <v>59</v>
      </c>
      <c r="AA17" s="16" t="s">
        <v>13</v>
      </c>
      <c r="AB17" s="8"/>
      <c r="AC17" s="8"/>
      <c r="AD17" s="8"/>
      <c r="AE17" s="8">
        <f t="shared" si="0"/>
        <v>3</v>
      </c>
      <c r="AI17" s="8"/>
      <c r="AJ17" s="8"/>
    </row>
    <row r="18" spans="1:39" ht="18.75" x14ac:dyDescent="0.3">
      <c r="A18" s="14" t="s">
        <v>29</v>
      </c>
      <c r="B18" s="8"/>
      <c r="C18" s="8"/>
      <c r="D18" s="8"/>
      <c r="E18" s="8"/>
      <c r="F18" s="8"/>
      <c r="G18" s="8"/>
      <c r="H18" s="8"/>
      <c r="L18" s="15"/>
      <c r="N18" s="21"/>
      <c r="P18" s="19" t="str">
        <f t="shared" si="1"/>
        <v/>
      </c>
      <c r="S18" s="8">
        <v>0</v>
      </c>
      <c r="T18" s="8">
        <f>F8</f>
        <v>80</v>
      </c>
      <c r="U18" s="8">
        <f>$C$9</f>
        <v>50</v>
      </c>
      <c r="V18" s="8">
        <f t="shared" ref="V18:V28" si="2">$C$11</f>
        <v>110</v>
      </c>
      <c r="W18" s="8">
        <f>$C$10*S18</f>
        <v>0</v>
      </c>
      <c r="X18" s="8">
        <f>$C$13</f>
        <v>240</v>
      </c>
      <c r="Y18" s="8">
        <f>$C$12*S18</f>
        <v>0</v>
      </c>
      <c r="Z18" s="8">
        <f>T18+U18+V18+X18-Y18</f>
        <v>480</v>
      </c>
      <c r="AA18" s="8">
        <f t="shared" ref="AA18:AA28" si="3">S18</f>
        <v>0</v>
      </c>
      <c r="AB18" s="8"/>
      <c r="AC18" s="8"/>
      <c r="AD18" s="8"/>
      <c r="AE18" s="8">
        <f t="shared" si="0"/>
        <v>4</v>
      </c>
      <c r="AH18" s="14" t="s">
        <v>17</v>
      </c>
      <c r="AI18" s="8"/>
      <c r="AJ18" s="8"/>
      <c r="AL18" s="2">
        <f>C8</f>
        <v>0.8</v>
      </c>
    </row>
    <row r="19" spans="1:39" ht="18.75" x14ac:dyDescent="0.3">
      <c r="A19" s="14" t="s">
        <v>19</v>
      </c>
      <c r="B19" s="8"/>
      <c r="C19" s="8"/>
      <c r="D19" s="8"/>
      <c r="E19" s="8"/>
      <c r="F19" s="8"/>
      <c r="G19" s="8"/>
      <c r="H19" s="8"/>
      <c r="L19" s="15"/>
      <c r="N19" s="21"/>
      <c r="P19" s="19" t="str">
        <f t="shared" si="1"/>
        <v/>
      </c>
      <c r="S19" s="8">
        <v>100</v>
      </c>
      <c r="T19" s="8">
        <f>(S19-S19*$C$10)*$C$8+$F$8</f>
        <v>140</v>
      </c>
      <c r="U19" s="8">
        <f t="shared" ref="U19:U28" si="4">$C$9</f>
        <v>50</v>
      </c>
      <c r="V19" s="8">
        <f t="shared" si="2"/>
        <v>110</v>
      </c>
      <c r="W19" s="8">
        <f t="shared" ref="W19:W28" si="5">$C$10*S19</f>
        <v>25</v>
      </c>
      <c r="X19" s="8">
        <f t="shared" ref="X19:X28" si="6">$C$13</f>
        <v>240</v>
      </c>
      <c r="Y19" s="8">
        <f t="shared" ref="Y19:Y28" si="7">$C$12*S19</f>
        <v>40</v>
      </c>
      <c r="Z19" s="8">
        <f t="shared" ref="Z19:Z28" si="8">T19+U19+V19+X19-Y19</f>
        <v>500</v>
      </c>
      <c r="AA19" s="8">
        <f t="shared" si="3"/>
        <v>100</v>
      </c>
      <c r="AB19" s="8"/>
      <c r="AC19" s="8"/>
      <c r="AD19" s="8"/>
      <c r="AE19" s="8">
        <f t="shared" si="0"/>
        <v>5</v>
      </c>
      <c r="AH19" s="14" t="s">
        <v>18</v>
      </c>
      <c r="AI19" s="8"/>
      <c r="AJ19" s="8"/>
      <c r="AL19" s="2">
        <f>(((AL20-$C$10*AL20)*C8)+F8)/AL20</f>
        <v>0.73333333333333328</v>
      </c>
    </row>
    <row r="20" spans="1:39" ht="18.75" x14ac:dyDescent="0.3">
      <c r="A20" s="14" t="s">
        <v>21</v>
      </c>
      <c r="B20" s="8"/>
      <c r="C20" s="8"/>
      <c r="D20" s="8"/>
      <c r="E20" s="8"/>
      <c r="F20" s="8"/>
      <c r="G20" s="8"/>
      <c r="H20" s="8"/>
      <c r="L20" s="15"/>
      <c r="N20" s="21"/>
      <c r="P20" s="19" t="str">
        <f t="shared" si="1"/>
        <v/>
      </c>
      <c r="S20" s="8">
        <v>200</v>
      </c>
      <c r="T20" s="8">
        <f t="shared" ref="T20:T28" si="9">(S20-S20*$C$10)*$C$8+$F$8</f>
        <v>200</v>
      </c>
      <c r="U20" s="8">
        <f t="shared" si="4"/>
        <v>50</v>
      </c>
      <c r="V20" s="8">
        <f t="shared" si="2"/>
        <v>110</v>
      </c>
      <c r="W20" s="8">
        <f t="shared" si="5"/>
        <v>50</v>
      </c>
      <c r="X20" s="8">
        <f t="shared" si="6"/>
        <v>240</v>
      </c>
      <c r="Y20" s="8">
        <f t="shared" si="7"/>
        <v>80</v>
      </c>
      <c r="Z20" s="8">
        <f t="shared" si="8"/>
        <v>520</v>
      </c>
      <c r="AA20" s="8">
        <f t="shared" si="3"/>
        <v>200</v>
      </c>
      <c r="AB20" s="8"/>
      <c r="AC20" s="8"/>
      <c r="AD20" s="8"/>
      <c r="AE20" s="8">
        <f t="shared" si="0"/>
        <v>6</v>
      </c>
      <c r="AH20" s="14" t="s">
        <v>19</v>
      </c>
      <c r="AI20" s="8"/>
      <c r="AJ20" s="8"/>
      <c r="AL20" s="2">
        <f>(F8+C9+C11+C13)/(1-C8+C8*C10+C12)</f>
        <v>600</v>
      </c>
    </row>
    <row r="21" spans="1:39" ht="18.75" x14ac:dyDescent="0.3">
      <c r="A21" s="14" t="s">
        <v>20</v>
      </c>
      <c r="B21" s="8"/>
      <c r="C21" s="8"/>
      <c r="D21" s="8"/>
      <c r="E21" s="8"/>
      <c r="F21" s="8"/>
      <c r="G21" s="8"/>
      <c r="H21" s="8"/>
      <c r="L21" s="15"/>
      <c r="N21" s="21"/>
      <c r="P21" s="19" t="str">
        <f t="shared" si="1"/>
        <v/>
      </c>
      <c r="S21" s="8">
        <v>300</v>
      </c>
      <c r="T21" s="8">
        <f t="shared" si="9"/>
        <v>260</v>
      </c>
      <c r="U21" s="8">
        <f t="shared" si="4"/>
        <v>50</v>
      </c>
      <c r="V21" s="8">
        <f t="shared" si="2"/>
        <v>110</v>
      </c>
      <c r="W21" s="8">
        <f t="shared" si="5"/>
        <v>75</v>
      </c>
      <c r="X21" s="8">
        <f t="shared" si="6"/>
        <v>240</v>
      </c>
      <c r="Y21" s="8">
        <f t="shared" si="7"/>
        <v>120</v>
      </c>
      <c r="Z21" s="8">
        <f t="shared" si="8"/>
        <v>540</v>
      </c>
      <c r="AA21" s="8">
        <f t="shared" si="3"/>
        <v>300</v>
      </c>
      <c r="AB21" s="8"/>
      <c r="AC21" s="8"/>
      <c r="AD21" s="8"/>
      <c r="AE21" s="8">
        <f t="shared" si="0"/>
        <v>7</v>
      </c>
      <c r="AH21" s="14" t="s">
        <v>21</v>
      </c>
      <c r="AI21" s="8"/>
      <c r="AJ21" s="8"/>
      <c r="AL21" s="2">
        <f>1/(1-C8+C8*C10+C12)</f>
        <v>1.25</v>
      </c>
    </row>
    <row r="22" spans="1:39" ht="18.75" x14ac:dyDescent="0.3">
      <c r="A22" s="14" t="s">
        <v>33</v>
      </c>
      <c r="L22" s="15"/>
      <c r="N22" s="21"/>
      <c r="P22" s="19" t="str">
        <f t="shared" si="1"/>
        <v/>
      </c>
      <c r="S22" s="8">
        <v>400</v>
      </c>
      <c r="T22" s="8">
        <f t="shared" si="9"/>
        <v>320</v>
      </c>
      <c r="U22" s="8">
        <f t="shared" si="4"/>
        <v>50</v>
      </c>
      <c r="V22" s="8">
        <f t="shared" si="2"/>
        <v>110</v>
      </c>
      <c r="W22" s="8">
        <f t="shared" si="5"/>
        <v>100</v>
      </c>
      <c r="X22" s="8">
        <f t="shared" si="6"/>
        <v>240</v>
      </c>
      <c r="Y22" s="8">
        <f t="shared" si="7"/>
        <v>160</v>
      </c>
      <c r="Z22" s="8">
        <f t="shared" si="8"/>
        <v>560</v>
      </c>
      <c r="AA22" s="8">
        <f t="shared" si="3"/>
        <v>400</v>
      </c>
      <c r="AB22" s="8"/>
      <c r="AC22" s="8"/>
      <c r="AD22" s="8"/>
      <c r="AE22" s="8">
        <f t="shared" si="0"/>
        <v>8</v>
      </c>
      <c r="AH22" s="14" t="s">
        <v>20</v>
      </c>
      <c r="AJ22" s="8"/>
      <c r="AL22" s="2">
        <f>(N8*N10)/1000</f>
        <v>1000</v>
      </c>
    </row>
    <row r="23" spans="1:39" ht="18.75" x14ac:dyDescent="0.3">
      <c r="A23" s="14" t="s">
        <v>34</v>
      </c>
      <c r="L23" s="15"/>
      <c r="N23" s="21"/>
      <c r="P23" s="19" t="str">
        <f t="shared" si="1"/>
        <v/>
      </c>
      <c r="S23" s="8">
        <v>500</v>
      </c>
      <c r="T23" s="8">
        <f t="shared" si="9"/>
        <v>380</v>
      </c>
      <c r="U23" s="8">
        <f t="shared" si="4"/>
        <v>50</v>
      </c>
      <c r="V23" s="8">
        <f t="shared" si="2"/>
        <v>110</v>
      </c>
      <c r="W23" s="8">
        <f t="shared" si="5"/>
        <v>125</v>
      </c>
      <c r="X23" s="8">
        <f t="shared" si="6"/>
        <v>240</v>
      </c>
      <c r="Y23" s="8">
        <f t="shared" si="7"/>
        <v>200</v>
      </c>
      <c r="Z23" s="8">
        <f t="shared" si="8"/>
        <v>580</v>
      </c>
      <c r="AA23" s="8">
        <f t="shared" si="3"/>
        <v>500</v>
      </c>
      <c r="AB23" s="8"/>
      <c r="AC23" s="8"/>
      <c r="AD23" s="8"/>
      <c r="AE23" s="8">
        <f t="shared" si="0"/>
        <v>9</v>
      </c>
      <c r="AH23" s="14" t="s">
        <v>22</v>
      </c>
      <c r="AJ23" s="8"/>
      <c r="AL23" s="2">
        <f>AL20/N8*1000</f>
        <v>6</v>
      </c>
    </row>
    <row r="24" spans="1:39" ht="18.75" x14ac:dyDescent="0.3">
      <c r="A24" s="14" t="s">
        <v>35</v>
      </c>
      <c r="B24" s="8"/>
      <c r="C24" s="8"/>
      <c r="D24" s="8"/>
      <c r="E24" s="8"/>
      <c r="F24" s="8"/>
      <c r="G24" s="8"/>
      <c r="H24" s="8"/>
      <c r="L24" s="15"/>
      <c r="N24" s="21"/>
      <c r="P24" s="19" t="str">
        <f>IF(N24&lt;&gt;"",IF(N24=ROUND(AM25,2),"GOED","FOUT"),"")</f>
        <v/>
      </c>
      <c r="S24" s="8">
        <v>600</v>
      </c>
      <c r="T24" s="8">
        <f t="shared" si="9"/>
        <v>440</v>
      </c>
      <c r="U24" s="8">
        <f t="shared" si="4"/>
        <v>50</v>
      </c>
      <c r="V24" s="8">
        <f t="shared" si="2"/>
        <v>110</v>
      </c>
      <c r="W24" s="8">
        <f t="shared" si="5"/>
        <v>150</v>
      </c>
      <c r="X24" s="8">
        <f t="shared" si="6"/>
        <v>240</v>
      </c>
      <c r="Y24" s="8">
        <f t="shared" si="7"/>
        <v>240</v>
      </c>
      <c r="Z24" s="8">
        <f t="shared" si="8"/>
        <v>600</v>
      </c>
      <c r="AA24" s="8">
        <f t="shared" si="3"/>
        <v>600</v>
      </c>
      <c r="AB24" s="8"/>
      <c r="AC24" s="8"/>
      <c r="AD24" s="8"/>
      <c r="AE24" s="8">
        <f t="shared" si="0"/>
        <v>10</v>
      </c>
      <c r="AH24" s="14" t="s">
        <v>23</v>
      </c>
      <c r="AI24" s="8"/>
      <c r="AJ24" s="8"/>
      <c r="AL24" s="2">
        <f>(N10-AL23)</f>
        <v>4</v>
      </c>
    </row>
    <row r="25" spans="1:39" ht="18.75" x14ac:dyDescent="0.3">
      <c r="A25" s="14" t="s">
        <v>25</v>
      </c>
      <c r="B25" s="8"/>
      <c r="C25" s="8"/>
      <c r="D25" s="8"/>
      <c r="E25" s="8"/>
      <c r="F25" s="8"/>
      <c r="G25" s="8"/>
      <c r="H25" s="8"/>
      <c r="L25" s="15"/>
      <c r="N25" s="22"/>
      <c r="P25" s="19" t="str">
        <f>IF(N25&lt;&gt;"",IF(N25=ROUND(AM26,2),"GOED","FOUT"),"")</f>
        <v/>
      </c>
      <c r="S25" s="8">
        <v>700</v>
      </c>
      <c r="T25" s="8">
        <f t="shared" si="9"/>
        <v>500</v>
      </c>
      <c r="U25" s="8">
        <f t="shared" si="4"/>
        <v>50</v>
      </c>
      <c r="V25" s="8">
        <f t="shared" si="2"/>
        <v>110</v>
      </c>
      <c r="W25" s="8">
        <f t="shared" si="5"/>
        <v>175</v>
      </c>
      <c r="X25" s="8">
        <f t="shared" si="6"/>
        <v>240</v>
      </c>
      <c r="Y25" s="8">
        <f t="shared" si="7"/>
        <v>280</v>
      </c>
      <c r="Z25" s="8">
        <f t="shared" si="8"/>
        <v>620</v>
      </c>
      <c r="AA25" s="8">
        <f t="shared" si="3"/>
        <v>700</v>
      </c>
      <c r="AE25" s="8"/>
      <c r="AH25" s="14" t="s">
        <v>24</v>
      </c>
      <c r="AI25" s="8"/>
      <c r="AJ25" s="8"/>
      <c r="AL25" s="2">
        <f>(AL29-AL20)/N8*1000</f>
        <v>3</v>
      </c>
      <c r="AM25" s="8">
        <f>IF(AL24&lt;AL25,AL24,AL25)</f>
        <v>3</v>
      </c>
    </row>
    <row r="26" spans="1:39" ht="20.25" x14ac:dyDescent="0.35">
      <c r="A26" s="14" t="s">
        <v>64</v>
      </c>
      <c r="B26" s="8"/>
      <c r="C26" s="8"/>
      <c r="D26" s="8"/>
      <c r="E26" s="8"/>
      <c r="F26" s="8"/>
      <c r="G26" s="8"/>
      <c r="H26" s="8"/>
      <c r="L26" s="15"/>
      <c r="N26" s="23"/>
      <c r="P26" s="19" t="str">
        <f>IF(N26&lt;&gt;"",IF(N26=ROUND(AL27,2),"GOED","FOUT"),"")</f>
        <v/>
      </c>
      <c r="S26" s="8">
        <v>800</v>
      </c>
      <c r="T26" s="8">
        <f t="shared" si="9"/>
        <v>560</v>
      </c>
      <c r="U26" s="8">
        <f t="shared" si="4"/>
        <v>50</v>
      </c>
      <c r="V26" s="8">
        <f t="shared" si="2"/>
        <v>110</v>
      </c>
      <c r="W26" s="8">
        <f t="shared" si="5"/>
        <v>200</v>
      </c>
      <c r="X26" s="8">
        <f t="shared" si="6"/>
        <v>240</v>
      </c>
      <c r="Y26" s="8">
        <f t="shared" si="7"/>
        <v>320</v>
      </c>
      <c r="Z26" s="8">
        <f t="shared" si="8"/>
        <v>640</v>
      </c>
      <c r="AA26" s="8">
        <f t="shared" si="3"/>
        <v>800</v>
      </c>
      <c r="AE26" s="8"/>
      <c r="AH26" s="14" t="s">
        <v>25</v>
      </c>
      <c r="AI26" s="8"/>
      <c r="AJ26" s="8"/>
      <c r="AL26" s="2">
        <f>(AL22-AL29)/N8*1000</f>
        <v>1</v>
      </c>
      <c r="AM26" s="8">
        <f>IF(AL26&lt;0,0,AL26)</f>
        <v>1</v>
      </c>
    </row>
    <row r="27" spans="1:39" ht="20.25" x14ac:dyDescent="0.35">
      <c r="A27" s="14" t="s">
        <v>30</v>
      </c>
      <c r="B27" s="8"/>
      <c r="C27" s="8"/>
      <c r="D27" s="8"/>
      <c r="E27" s="8"/>
      <c r="F27" s="8"/>
      <c r="G27" s="8"/>
      <c r="H27" s="8"/>
      <c r="I27" s="18"/>
      <c r="S27" s="8">
        <v>900</v>
      </c>
      <c r="T27" s="8">
        <f t="shared" si="9"/>
        <v>620</v>
      </c>
      <c r="U27" s="8">
        <f t="shared" si="4"/>
        <v>50</v>
      </c>
      <c r="V27" s="8">
        <f t="shared" si="2"/>
        <v>110</v>
      </c>
      <c r="W27" s="8">
        <f t="shared" si="5"/>
        <v>225</v>
      </c>
      <c r="X27" s="8">
        <f t="shared" si="6"/>
        <v>240</v>
      </c>
      <c r="Y27" s="8">
        <f t="shared" si="7"/>
        <v>360</v>
      </c>
      <c r="Z27" s="8">
        <f t="shared" si="8"/>
        <v>660</v>
      </c>
      <c r="AA27" s="8">
        <f t="shared" si="3"/>
        <v>900</v>
      </c>
      <c r="AE27" s="8"/>
      <c r="AH27" s="14" t="s">
        <v>62</v>
      </c>
      <c r="AL27" s="2">
        <f>(AL22-AL20)/AL21</f>
        <v>320</v>
      </c>
    </row>
    <row r="28" spans="1:39" ht="18.75" x14ac:dyDescent="0.3">
      <c r="A28" s="8"/>
      <c r="B28" s="8"/>
      <c r="C28" s="8"/>
      <c r="D28" s="8"/>
      <c r="E28" s="8"/>
      <c r="F28" s="8"/>
      <c r="G28" s="8"/>
      <c r="H28" s="8"/>
      <c r="I28" s="18"/>
      <c r="J28" s="19"/>
      <c r="S28" s="8">
        <v>1000</v>
      </c>
      <c r="T28" s="8">
        <f t="shared" si="9"/>
        <v>680</v>
      </c>
      <c r="U28" s="8">
        <f t="shared" si="4"/>
        <v>50</v>
      </c>
      <c r="V28" s="8">
        <f t="shared" si="2"/>
        <v>110</v>
      </c>
      <c r="W28" s="8">
        <f t="shared" si="5"/>
        <v>250</v>
      </c>
      <c r="X28" s="8">
        <f t="shared" si="6"/>
        <v>240</v>
      </c>
      <c r="Y28" s="8">
        <f t="shared" si="7"/>
        <v>400</v>
      </c>
      <c r="Z28" s="8">
        <f t="shared" si="8"/>
        <v>680</v>
      </c>
      <c r="AA28" s="8">
        <f t="shared" si="3"/>
        <v>1000</v>
      </c>
      <c r="AH28" s="14" t="s">
        <v>63</v>
      </c>
      <c r="AL28" s="8"/>
    </row>
    <row r="29" spans="1:39" x14ac:dyDescent="0.25">
      <c r="A29" s="8" t="s">
        <v>4</v>
      </c>
      <c r="AL29" s="8">
        <f>IF(N9&lt;AL20,AL20,N9)</f>
        <v>900</v>
      </c>
    </row>
    <row r="32" spans="1:39" x14ac:dyDescent="0.25">
      <c r="A32" s="20" t="s">
        <v>3</v>
      </c>
      <c r="B32" s="18"/>
      <c r="S32" s="8"/>
      <c r="T32" s="8"/>
      <c r="AE32" s="8"/>
    </row>
    <row r="33" spans="19:31" x14ac:dyDescent="0.25">
      <c r="S33" s="8"/>
      <c r="T33" s="8"/>
      <c r="AE33" s="8"/>
    </row>
    <row r="34" spans="19:31" x14ac:dyDescent="0.25">
      <c r="S34" s="8"/>
    </row>
    <row r="35" spans="19:31" x14ac:dyDescent="0.25">
      <c r="S35" s="8"/>
    </row>
    <row r="36" spans="19:31" x14ac:dyDescent="0.25">
      <c r="S36" s="8"/>
    </row>
    <row r="37" spans="19:31" x14ac:dyDescent="0.25">
      <c r="S37" s="8"/>
    </row>
  </sheetData>
  <sheetProtection algorithmName="SHA-512" hashValue="lji3X2fAHgYHha1XQlk0FKIL2/WcLjpW5TeC1PlOL7NEIIh2qE6SbBb6FW8Gyfhb6QQv0ODml9X2ng8+pXhEfQ==" saltValue="CKTrqXmaGEBPUxiL1cRVjw==" spinCount="100000" sheet="1" objects="1" scenarios="1"/>
  <hyperlinks>
    <hyperlink ref="A32" r:id="rId1" xr:uid="{00000000-0004-0000-0300-000000000000}"/>
  </hyperlinks>
  <pageMargins left="0.7" right="0.7" top="0.75" bottom="0.75" header="0.3" footer="0.3"/>
  <pageSetup paperSize="9" orientation="portrait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Inhoud</vt:lpstr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2024-01-18T16:32:17Z</dcterms:modified>
</cp:coreProperties>
</file>